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codeName="{4D1C537B-E38A-612A-F078-A93A15B4B7F4}"/>
  <workbookPr codeName="ThisWorkbook" autoCompressPictures="0"/>
  <mc:AlternateContent xmlns:mc="http://schemas.openxmlformats.org/markup-compatibility/2006">
    <mc:Choice Requires="x15">
      <x15ac:absPath xmlns:x15ac="http://schemas.microsoft.com/office/spreadsheetml/2010/11/ac" url="https://redzed-my.sharepoint.com/personal/cfernandez_redzed_com/Documents/Sales/Serviceability Calculators 10Feb21/Base Calculators V10.12/"/>
    </mc:Choice>
  </mc:AlternateContent>
  <xr:revisionPtr revIDLastSave="129" documentId="8_{8A1C5960-15A5-431D-83E8-43982F84B4F0}" xr6:coauthVersionLast="46" xr6:coauthVersionMax="46" xr10:uidLastSave="{991B237E-E250-42E4-949C-A156CCC4384B}"/>
  <bookViews>
    <workbookView xWindow="-108" yWindow="-108" windowWidth="23256" windowHeight="12576" tabRatio="709" xr2:uid="{00000000-000D-0000-FFFF-FFFF00000000}"/>
  </bookViews>
  <sheets>
    <sheet name="Serviceability" sheetId="1" r:id="rId1"/>
    <sheet name="HEM" sheetId="8" state="veryHidden" r:id="rId2"/>
    <sheet name="Tables" sheetId="2" state="veryHidden" r:id="rId3"/>
    <sheet name="Serviceability Calc" sheetId="4" state="veryHidden" r:id="rId4"/>
    <sheet name="Tax Calc" sheetId="3" state="veryHidden" r:id="rId5"/>
    <sheet name="User Problems" sheetId="5" state="veryHidden" r:id="rId6"/>
    <sheet name="Version Control" sheetId="6" state="veryHidden" r:id="rId7"/>
    <sheet name="Day and Months Table" sheetId="7" state="veryHidden" r:id="rId8"/>
  </sheets>
  <externalReferences>
    <externalReference r:id="rId9"/>
  </externalReferences>
  <definedNames>
    <definedName name="Content" localSheetId="2">Tables!$G$18</definedName>
    <definedName name="P3_172" localSheetId="2">Tables!$H$11</definedName>
    <definedName name="_xlnm.Print_Area" localSheetId="0">Serviceability!$D$2:$N$84</definedName>
    <definedName name="Table_Company_Tax_Rate">Tables!$B$22</definedName>
    <definedName name="Table_Company_Tax_Rate2">[1]Tables!$B$22</definedName>
    <definedName name="top" localSheetId="2">Tables!$G$18</definedName>
    <definedName name="TopOfPage" localSheetId="2">Tables!$H$10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42" i="8" l="1"/>
  <c r="J41" i="8"/>
  <c r="J40" i="8"/>
  <c r="F40" i="8"/>
  <c r="F43" i="8" s="1"/>
  <c r="J45" i="8"/>
  <c r="F45" i="8"/>
  <c r="F42" i="8"/>
  <c r="F41" i="8"/>
  <c r="J44" i="8" l="1"/>
  <c r="F44" i="8"/>
  <c r="F46" i="8" s="1"/>
  <c r="B303" i="2" s="1"/>
  <c r="J43" i="8"/>
  <c r="D5" i="3"/>
  <c r="D6" i="3"/>
  <c r="G6" i="3" s="1"/>
  <c r="D7" i="3"/>
  <c r="D8" i="3"/>
  <c r="C51" i="3"/>
  <c r="D51" i="3" s="1"/>
  <c r="B51" i="3"/>
  <c r="A43" i="3"/>
  <c r="A42" i="3"/>
  <c r="E51" i="3" s="1"/>
  <c r="A33" i="3"/>
  <c r="A32" i="3"/>
  <c r="E22" i="3" s="1"/>
  <c r="A31" i="3"/>
  <c r="A30" i="3"/>
  <c r="B22" i="3"/>
  <c r="J46" i="8" l="1"/>
  <c r="C303" i="2" s="1"/>
  <c r="G8" i="3"/>
  <c r="G7" i="3"/>
  <c r="F8" i="3"/>
  <c r="G5" i="3"/>
  <c r="F6" i="3"/>
  <c r="F7" i="3"/>
  <c r="F51" i="3"/>
  <c r="G51" i="3" s="1"/>
  <c r="C22" i="3"/>
  <c r="D22" i="3" s="1"/>
  <c r="F22" i="3" s="1"/>
  <c r="G22" i="3" s="1"/>
  <c r="A7" i="2"/>
  <c r="A8" i="2"/>
  <c r="A9" i="2"/>
  <c r="A6" i="2"/>
  <c r="E7" i="3" l="1"/>
  <c r="H7" i="3" s="1"/>
  <c r="E8" i="3"/>
  <c r="H8" i="3" s="1"/>
  <c r="D31" i="1"/>
  <c r="D284" i="2" l="1"/>
  <c r="D285" i="2"/>
  <c r="D286" i="2"/>
  <c r="D287" i="2"/>
  <c r="D288" i="2"/>
  <c r="D297" i="2"/>
  <c r="D296" i="2"/>
  <c r="D295" i="2"/>
  <c r="D294" i="2"/>
  <c r="D293" i="2"/>
  <c r="D292" i="2"/>
  <c r="D291" i="2"/>
  <c r="D290" i="2"/>
  <c r="D289" i="2"/>
  <c r="D269" i="2"/>
  <c r="D270" i="2"/>
  <c r="D271" i="2"/>
  <c r="D272" i="2"/>
  <c r="D282" i="2"/>
  <c r="D281" i="2"/>
  <c r="D280" i="2"/>
  <c r="D279" i="2"/>
  <c r="D278" i="2"/>
  <c r="D277" i="2"/>
  <c r="D276" i="2"/>
  <c r="D275" i="2"/>
  <c r="D274" i="2"/>
  <c r="D273" i="2"/>
  <c r="D257" i="2"/>
  <c r="D256" i="2"/>
  <c r="D255" i="2"/>
  <c r="D254" i="2"/>
  <c r="D267" i="2"/>
  <c r="D266" i="2"/>
  <c r="D265" i="2"/>
  <c r="D264" i="2"/>
  <c r="D263" i="2"/>
  <c r="D262" i="2"/>
  <c r="D261" i="2"/>
  <c r="D260" i="2"/>
  <c r="D259" i="2"/>
  <c r="D258" i="2"/>
  <c r="D240" i="2"/>
  <c r="D239" i="2"/>
  <c r="D238" i="2"/>
  <c r="D251" i="2"/>
  <c r="D250" i="2"/>
  <c r="D249" i="2"/>
  <c r="D248" i="2"/>
  <c r="D247" i="2"/>
  <c r="D246" i="2"/>
  <c r="D245" i="2"/>
  <c r="D244" i="2"/>
  <c r="D243" i="2"/>
  <c r="D242" i="2"/>
  <c r="D241" i="2"/>
  <c r="D223" i="2"/>
  <c r="D224" i="2"/>
  <c r="D236" i="2"/>
  <c r="D235" i="2"/>
  <c r="D234" i="2"/>
  <c r="D233" i="2"/>
  <c r="D232" i="2"/>
  <c r="D231" i="2"/>
  <c r="D230" i="2"/>
  <c r="D229" i="2"/>
  <c r="D228" i="2"/>
  <c r="D227" i="2"/>
  <c r="D226" i="2"/>
  <c r="D225" i="2"/>
  <c r="D209" i="2"/>
  <c r="D208" i="2"/>
  <c r="D221" i="2"/>
  <c r="D220" i="2"/>
  <c r="D219" i="2"/>
  <c r="D218" i="2"/>
  <c r="D217" i="2"/>
  <c r="D216" i="2"/>
  <c r="D215" i="2"/>
  <c r="D214" i="2"/>
  <c r="D213" i="2"/>
  <c r="D212" i="2"/>
  <c r="D211" i="2"/>
  <c r="D210" i="2"/>
  <c r="D193" i="2"/>
  <c r="D206" i="2"/>
  <c r="D205" i="2"/>
  <c r="D204" i="2"/>
  <c r="D203" i="2"/>
  <c r="D202" i="2"/>
  <c r="D201" i="2"/>
  <c r="D200" i="2"/>
  <c r="D199" i="2"/>
  <c r="D198" i="2"/>
  <c r="D197" i="2"/>
  <c r="D196" i="2"/>
  <c r="D195" i="2"/>
  <c r="D194" i="2"/>
  <c r="A297" i="2"/>
  <c r="A296" i="2"/>
  <c r="A295" i="2"/>
  <c r="A294" i="2"/>
  <c r="A293" i="2"/>
  <c r="A292" i="2"/>
  <c r="A291" i="2"/>
  <c r="A290" i="2"/>
  <c r="A289" i="2"/>
  <c r="A288" i="2"/>
  <c r="A287" i="2"/>
  <c r="A286" i="2"/>
  <c r="A285" i="2"/>
  <c r="A284" i="2"/>
  <c r="A282" i="2"/>
  <c r="A281" i="2"/>
  <c r="A280" i="2"/>
  <c r="A279" i="2"/>
  <c r="A278" i="2"/>
  <c r="A277" i="2"/>
  <c r="A276" i="2"/>
  <c r="A275" i="2"/>
  <c r="A274" i="2"/>
  <c r="A273" i="2"/>
  <c r="A272" i="2"/>
  <c r="A271" i="2"/>
  <c r="A270" i="2"/>
  <c r="A269" i="2"/>
  <c r="A267" i="2"/>
  <c r="A266" i="2"/>
  <c r="A265" i="2"/>
  <c r="A264" i="2"/>
  <c r="A263" i="2"/>
  <c r="A262" i="2"/>
  <c r="A261" i="2"/>
  <c r="A260" i="2"/>
  <c r="A259" i="2"/>
  <c r="A258" i="2"/>
  <c r="A257" i="2"/>
  <c r="A256" i="2"/>
  <c r="A255" i="2"/>
  <c r="A254" i="2"/>
  <c r="A251" i="2"/>
  <c r="A250" i="2"/>
  <c r="A249" i="2"/>
  <c r="A248" i="2"/>
  <c r="A247" i="2"/>
  <c r="A246" i="2"/>
  <c r="A245" i="2"/>
  <c r="A244" i="2"/>
  <c r="A243" i="2"/>
  <c r="A242" i="2"/>
  <c r="A241" i="2"/>
  <c r="A240" i="2"/>
  <c r="A239" i="2"/>
  <c r="A238" i="2"/>
  <c r="A236" i="2"/>
  <c r="A235" i="2"/>
  <c r="A234" i="2"/>
  <c r="A233" i="2"/>
  <c r="A232" i="2"/>
  <c r="A231" i="2"/>
  <c r="A230" i="2"/>
  <c r="A229" i="2"/>
  <c r="A228" i="2"/>
  <c r="A227" i="2"/>
  <c r="A226" i="2"/>
  <c r="A225" i="2"/>
  <c r="A224" i="2"/>
  <c r="A223" i="2"/>
  <c r="A221" i="2"/>
  <c r="A220" i="2"/>
  <c r="A219" i="2"/>
  <c r="A218" i="2"/>
  <c r="A217" i="2"/>
  <c r="A216" i="2"/>
  <c r="A215" i="2"/>
  <c r="A214" i="2"/>
  <c r="A213" i="2"/>
  <c r="A212" i="2"/>
  <c r="A211" i="2"/>
  <c r="A210" i="2"/>
  <c r="A209" i="2"/>
  <c r="A208" i="2"/>
  <c r="A206" i="2"/>
  <c r="A205" i="2"/>
  <c r="A204" i="2"/>
  <c r="A203" i="2"/>
  <c r="A202" i="2"/>
  <c r="A201" i="2"/>
  <c r="A200" i="2"/>
  <c r="A199" i="2"/>
  <c r="A198" i="2"/>
  <c r="A197" i="2"/>
  <c r="A196" i="2"/>
  <c r="A195" i="2"/>
  <c r="A194" i="2"/>
  <c r="A193" i="2"/>
  <c r="D178" i="2"/>
  <c r="D179" i="2"/>
  <c r="D180" i="2"/>
  <c r="D181" i="2"/>
  <c r="D182" i="2"/>
  <c r="D191" i="2"/>
  <c r="D190" i="2"/>
  <c r="D189" i="2"/>
  <c r="D188" i="2"/>
  <c r="D187" i="2"/>
  <c r="D186" i="2"/>
  <c r="D185" i="2"/>
  <c r="D184" i="2"/>
  <c r="D183" i="2"/>
  <c r="A191" i="2"/>
  <c r="A190" i="2"/>
  <c r="A189" i="2"/>
  <c r="A188" i="2"/>
  <c r="A187" i="2"/>
  <c r="A186" i="2"/>
  <c r="A185" i="2"/>
  <c r="A184" i="2"/>
  <c r="A183" i="2"/>
  <c r="A182" i="2"/>
  <c r="A181" i="2"/>
  <c r="A180" i="2"/>
  <c r="A179" i="2"/>
  <c r="A178" i="2"/>
  <c r="D163" i="2"/>
  <c r="D164" i="2"/>
  <c r="D165" i="2"/>
  <c r="D166" i="2"/>
  <c r="D176" i="2"/>
  <c r="D175" i="2"/>
  <c r="D174" i="2"/>
  <c r="D173" i="2"/>
  <c r="D172" i="2"/>
  <c r="D171" i="2"/>
  <c r="D170" i="2"/>
  <c r="D169" i="2"/>
  <c r="D168" i="2"/>
  <c r="D167" i="2"/>
  <c r="A176" i="2"/>
  <c r="A175" i="2"/>
  <c r="A174" i="2"/>
  <c r="A173" i="2"/>
  <c r="A172" i="2"/>
  <c r="A171" i="2"/>
  <c r="A170" i="2"/>
  <c r="A169" i="2"/>
  <c r="A168" i="2"/>
  <c r="A167" i="2"/>
  <c r="A166" i="2"/>
  <c r="A165" i="2"/>
  <c r="A164" i="2"/>
  <c r="A163" i="2"/>
  <c r="D148" i="2"/>
  <c r="D149" i="2"/>
  <c r="D161" i="2"/>
  <c r="D160" i="2"/>
  <c r="D159" i="2"/>
  <c r="D158" i="2"/>
  <c r="D157" i="2"/>
  <c r="D156" i="2"/>
  <c r="D155" i="2"/>
  <c r="D154" i="2"/>
  <c r="D153" i="2"/>
  <c r="D152" i="2"/>
  <c r="D151" i="2"/>
  <c r="D150" i="2"/>
  <c r="A161" i="2"/>
  <c r="A160" i="2"/>
  <c r="A159" i="2"/>
  <c r="A158" i="2"/>
  <c r="A157" i="2"/>
  <c r="A156" i="2"/>
  <c r="A155" i="2"/>
  <c r="A154" i="2"/>
  <c r="A153" i="2"/>
  <c r="A152" i="2"/>
  <c r="A151" i="2"/>
  <c r="A150" i="2"/>
  <c r="A149" i="2"/>
  <c r="A148" i="2"/>
  <c r="D132" i="2"/>
  <c r="D133" i="2"/>
  <c r="D145" i="2"/>
  <c r="D144" i="2"/>
  <c r="D143" i="2"/>
  <c r="D142" i="2"/>
  <c r="D141" i="2"/>
  <c r="D140" i="2"/>
  <c r="D139" i="2"/>
  <c r="D138" i="2"/>
  <c r="D137" i="2"/>
  <c r="D136" i="2"/>
  <c r="D135" i="2"/>
  <c r="D134" i="2"/>
  <c r="A145" i="2"/>
  <c r="A144" i="2"/>
  <c r="A143" i="2"/>
  <c r="A142" i="2"/>
  <c r="A141" i="2"/>
  <c r="A140" i="2"/>
  <c r="A139" i="2"/>
  <c r="A138" i="2"/>
  <c r="A137" i="2"/>
  <c r="A136" i="2"/>
  <c r="A135" i="2"/>
  <c r="A134" i="2"/>
  <c r="A133" i="2"/>
  <c r="A132" i="2"/>
  <c r="D117" i="2"/>
  <c r="D130" i="2"/>
  <c r="D129" i="2"/>
  <c r="D128" i="2"/>
  <c r="D127" i="2"/>
  <c r="D126" i="2"/>
  <c r="D125" i="2"/>
  <c r="D124" i="2"/>
  <c r="D123" i="2"/>
  <c r="D122" i="2"/>
  <c r="D121" i="2"/>
  <c r="D120" i="2"/>
  <c r="D119" i="2"/>
  <c r="D118" i="2"/>
  <c r="A130" i="2"/>
  <c r="A129" i="2"/>
  <c r="A128" i="2"/>
  <c r="A127" i="2"/>
  <c r="A126" i="2"/>
  <c r="A125" i="2"/>
  <c r="A124" i="2"/>
  <c r="A123" i="2"/>
  <c r="A122" i="2"/>
  <c r="A121" i="2"/>
  <c r="A120" i="2"/>
  <c r="A119" i="2"/>
  <c r="A118" i="2"/>
  <c r="A117" i="2"/>
  <c r="D102" i="2"/>
  <c r="D115" i="2"/>
  <c r="D114" i="2"/>
  <c r="D113" i="2"/>
  <c r="D112" i="2"/>
  <c r="D111" i="2"/>
  <c r="D110" i="2"/>
  <c r="D109" i="2"/>
  <c r="D108" i="2"/>
  <c r="D107" i="2"/>
  <c r="D106" i="2"/>
  <c r="D105" i="2"/>
  <c r="D104" i="2"/>
  <c r="D103" i="2"/>
  <c r="A103" i="2"/>
  <c r="A104" i="2"/>
  <c r="A105" i="2"/>
  <c r="A106" i="2"/>
  <c r="A107" i="2"/>
  <c r="A108" i="2"/>
  <c r="A109" i="2"/>
  <c r="A110" i="2"/>
  <c r="A111" i="2"/>
  <c r="A112" i="2"/>
  <c r="A113" i="2"/>
  <c r="A114" i="2"/>
  <c r="A115" i="2"/>
  <c r="A102" i="2"/>
  <c r="A88" i="2"/>
  <c r="A89" i="2"/>
  <c r="A90" i="2"/>
  <c r="A91" i="2"/>
  <c r="A92" i="2"/>
  <c r="A93" i="2"/>
  <c r="A94" i="2"/>
  <c r="A95" i="2"/>
  <c r="A96" i="2"/>
  <c r="A97" i="2"/>
  <c r="A98" i="2"/>
  <c r="A99" i="2"/>
  <c r="A100" i="2"/>
  <c r="A87" i="2"/>
  <c r="D100" i="2"/>
  <c r="D99" i="2"/>
  <c r="D98" i="2"/>
  <c r="D97" i="2"/>
  <c r="D96" i="2"/>
  <c r="D95" i="2"/>
  <c r="D94" i="2"/>
  <c r="D93" i="2"/>
  <c r="D92" i="2"/>
  <c r="D91" i="2"/>
  <c r="D90" i="2"/>
  <c r="D89" i="2"/>
  <c r="D88" i="2"/>
  <c r="D87" i="2"/>
  <c r="O62" i="2"/>
  <c r="N62" i="2"/>
  <c r="M62" i="2"/>
  <c r="L62" i="2"/>
  <c r="K62" i="2"/>
  <c r="J62" i="2"/>
  <c r="I62" i="2"/>
  <c r="H62" i="2"/>
  <c r="G62" i="2"/>
  <c r="F62" i="2"/>
  <c r="E62" i="2"/>
  <c r="D62" i="2"/>
  <c r="C62" i="2"/>
  <c r="B62" i="2"/>
  <c r="O61" i="2"/>
  <c r="N61" i="2"/>
  <c r="M61" i="2"/>
  <c r="L61" i="2"/>
  <c r="K61" i="2"/>
  <c r="J61" i="2"/>
  <c r="I61" i="2"/>
  <c r="H61" i="2"/>
  <c r="G61" i="2"/>
  <c r="F61" i="2"/>
  <c r="E61" i="2"/>
  <c r="D61" i="2"/>
  <c r="C61" i="2"/>
  <c r="B61" i="2"/>
  <c r="O60" i="2"/>
  <c r="N60" i="2"/>
  <c r="M60" i="2"/>
  <c r="L60" i="2"/>
  <c r="K60" i="2"/>
  <c r="J60" i="2"/>
  <c r="I60" i="2"/>
  <c r="H60" i="2"/>
  <c r="G60" i="2"/>
  <c r="F60" i="2"/>
  <c r="E60" i="2"/>
  <c r="D60" i="2"/>
  <c r="C60" i="2"/>
  <c r="B60" i="2"/>
  <c r="O59" i="2"/>
  <c r="N59" i="2"/>
  <c r="M59" i="2"/>
  <c r="L59" i="2"/>
  <c r="K59" i="2"/>
  <c r="J59" i="2"/>
  <c r="I59" i="2"/>
  <c r="H59" i="2"/>
  <c r="G59" i="2"/>
  <c r="F59" i="2"/>
  <c r="E59" i="2"/>
  <c r="D59" i="2"/>
  <c r="C59" i="2"/>
  <c r="B59" i="2"/>
  <c r="O58" i="2"/>
  <c r="N58" i="2"/>
  <c r="M58" i="2"/>
  <c r="L58" i="2"/>
  <c r="K58" i="2"/>
  <c r="J58" i="2"/>
  <c r="I58" i="2"/>
  <c r="H58" i="2"/>
  <c r="G58" i="2"/>
  <c r="F58" i="2"/>
  <c r="E58" i="2"/>
  <c r="D58" i="2"/>
  <c r="C58" i="2"/>
  <c r="B58" i="2"/>
  <c r="O57" i="2"/>
  <c r="N57" i="2"/>
  <c r="M57" i="2"/>
  <c r="L57" i="2"/>
  <c r="K57" i="2"/>
  <c r="J57" i="2"/>
  <c r="I57" i="2"/>
  <c r="H57" i="2"/>
  <c r="G57" i="2"/>
  <c r="F57" i="2"/>
  <c r="E57" i="2"/>
  <c r="D57" i="2"/>
  <c r="C57" i="2"/>
  <c r="B57" i="2"/>
  <c r="O56" i="2"/>
  <c r="N56" i="2"/>
  <c r="M56" i="2"/>
  <c r="L56" i="2"/>
  <c r="K56" i="2"/>
  <c r="J56" i="2"/>
  <c r="I56" i="2"/>
  <c r="H56" i="2"/>
  <c r="G56" i="2"/>
  <c r="F56" i="2"/>
  <c r="E56" i="2"/>
  <c r="D56" i="2"/>
  <c r="C56" i="2"/>
  <c r="B56" i="2"/>
  <c r="O55" i="2"/>
  <c r="N55" i="2"/>
  <c r="M55" i="2"/>
  <c r="L55" i="2"/>
  <c r="K55" i="2"/>
  <c r="J55" i="2"/>
  <c r="I55" i="2"/>
  <c r="H55" i="2"/>
  <c r="G55" i="2"/>
  <c r="F55" i="2"/>
  <c r="E55" i="2"/>
  <c r="D55" i="2"/>
  <c r="C55" i="2"/>
  <c r="B55" i="2"/>
  <c r="O54" i="2"/>
  <c r="N54" i="2"/>
  <c r="M54" i="2"/>
  <c r="L54" i="2"/>
  <c r="K54" i="2"/>
  <c r="J54" i="2"/>
  <c r="I54" i="2"/>
  <c r="H54" i="2"/>
  <c r="G54" i="2"/>
  <c r="F54" i="2"/>
  <c r="E54" i="2"/>
  <c r="D54" i="2"/>
  <c r="C54" i="2"/>
  <c r="B54" i="2"/>
  <c r="N53" i="2"/>
  <c r="M53" i="2"/>
  <c r="L53" i="2"/>
  <c r="K53" i="2"/>
  <c r="J53" i="2"/>
  <c r="I53" i="2"/>
  <c r="G53" i="2"/>
  <c r="F53" i="2"/>
  <c r="E53" i="2"/>
  <c r="D53" i="2"/>
  <c r="C53" i="2"/>
  <c r="B53" i="2"/>
  <c r="L52" i="2"/>
  <c r="K52" i="2"/>
  <c r="J52" i="2"/>
  <c r="I52" i="2"/>
  <c r="F52" i="2"/>
  <c r="E52" i="2"/>
  <c r="D52" i="2"/>
  <c r="C52" i="2"/>
  <c r="B52" i="2"/>
  <c r="K51" i="2"/>
  <c r="J51" i="2"/>
  <c r="I51" i="2"/>
  <c r="F51" i="2"/>
  <c r="E51" i="2"/>
  <c r="D51" i="2"/>
  <c r="C51" i="2"/>
  <c r="B51" i="2"/>
  <c r="I50" i="2"/>
  <c r="D50" i="2"/>
  <c r="C50" i="2"/>
  <c r="B50" i="2"/>
  <c r="B49" i="2"/>
  <c r="B318" i="2" l="1"/>
  <c r="L56" i="1" s="1"/>
  <c r="C43" i="2" s="1"/>
  <c r="C15" i="4" s="1"/>
  <c r="B317" i="2"/>
  <c r="L55" i="1" s="1"/>
  <c r="L65" i="1"/>
  <c r="E83" i="2"/>
  <c r="H43" i="1" s="1"/>
  <c r="E82" i="2"/>
  <c r="H41" i="1" s="1"/>
  <c r="I72" i="2"/>
  <c r="G75" i="2"/>
  <c r="G74" i="2"/>
  <c r="G73" i="2"/>
  <c r="G72" i="2"/>
  <c r="F73" i="2"/>
  <c r="F74" i="2"/>
  <c r="F75" i="2"/>
  <c r="F72" i="2"/>
  <c r="L46" i="1"/>
  <c r="C72" i="2"/>
  <c r="C73" i="2"/>
  <c r="C74" i="2"/>
  <c r="C75" i="2"/>
  <c r="C83" i="2"/>
  <c r="C82" i="2"/>
  <c r="B83" i="2"/>
  <c r="B82" i="2"/>
  <c r="B73" i="2"/>
  <c r="B74" i="2"/>
  <c r="B75" i="2"/>
  <c r="B72" i="2"/>
  <c r="Q3" i="5"/>
  <c r="Q4" i="5"/>
  <c r="Q5" i="5"/>
  <c r="Q6" i="5"/>
  <c r="Q7" i="5"/>
  <c r="Q8" i="5"/>
  <c r="Q9" i="5"/>
  <c r="Q10" i="5"/>
  <c r="Q11" i="5"/>
  <c r="Q12" i="5"/>
  <c r="Q13" i="5"/>
  <c r="Q14" i="5"/>
  <c r="Q15" i="5"/>
  <c r="Q16" i="5"/>
  <c r="Q17" i="5"/>
  <c r="Q18" i="5"/>
  <c r="Q19" i="5"/>
  <c r="Q20" i="5"/>
  <c r="Q21" i="5"/>
  <c r="Q22" i="5"/>
  <c r="Q2" i="5"/>
  <c r="K22" i="5"/>
  <c r="K21" i="5"/>
  <c r="K20" i="5"/>
  <c r="K19" i="5"/>
  <c r="K17" i="5"/>
  <c r="K18" i="5"/>
  <c r="K16" i="5"/>
  <c r="K13" i="5"/>
  <c r="K12" i="5"/>
  <c r="K5" i="5"/>
  <c r="K6" i="5"/>
  <c r="K7" i="5"/>
  <c r="K8" i="5"/>
  <c r="K9" i="5"/>
  <c r="K10" i="5"/>
  <c r="K11" i="5"/>
  <c r="K14" i="5"/>
  <c r="K15" i="5"/>
  <c r="K4" i="5"/>
  <c r="K3" i="5"/>
  <c r="G32" i="6"/>
  <c r="H32" i="6" s="1"/>
  <c r="I32" i="6" s="1"/>
  <c r="G31" i="6"/>
  <c r="H31" i="6" s="1"/>
  <c r="I31" i="6" s="1"/>
  <c r="G30" i="6"/>
  <c r="H30" i="6" s="1"/>
  <c r="I30" i="6" s="1"/>
  <c r="G29" i="6"/>
  <c r="H29" i="6" s="1"/>
  <c r="I29" i="6" s="1"/>
  <c r="G28" i="6"/>
  <c r="H28" i="6" s="1"/>
  <c r="I28" i="6" s="1"/>
  <c r="G27" i="6"/>
  <c r="H27" i="6" s="1"/>
  <c r="I27" i="6" s="1"/>
  <c r="G26" i="6"/>
  <c r="H26" i="6"/>
  <c r="I26" i="6" s="1"/>
  <c r="G25" i="6"/>
  <c r="H25" i="6" s="1"/>
  <c r="I25" i="6" s="1"/>
  <c r="G24" i="6"/>
  <c r="H24" i="6" s="1"/>
  <c r="I24" i="6" s="1"/>
  <c r="G23" i="6"/>
  <c r="H23" i="6" s="1"/>
  <c r="I23" i="6" s="1"/>
  <c r="G22" i="6"/>
  <c r="H22" i="6" s="1"/>
  <c r="I22" i="6" s="1"/>
  <c r="G21" i="6"/>
  <c r="H21" i="6" s="1"/>
  <c r="I21" i="6" s="1"/>
  <c r="G20" i="6"/>
  <c r="H20" i="6" s="1"/>
  <c r="I20" i="6" s="1"/>
  <c r="G19" i="6"/>
  <c r="H19" i="6" s="1"/>
  <c r="I19" i="6" s="1"/>
  <c r="G18" i="6"/>
  <c r="H18" i="6" s="1"/>
  <c r="I18" i="6" s="1"/>
  <c r="G17" i="6"/>
  <c r="H17" i="6" s="1"/>
  <c r="I17" i="6" s="1"/>
  <c r="G16" i="6"/>
  <c r="H16" i="6"/>
  <c r="I16" i="6" s="1"/>
  <c r="G15" i="6"/>
  <c r="H15" i="6" s="1"/>
  <c r="I15" i="6" s="1"/>
  <c r="G14" i="6"/>
  <c r="H14" i="6"/>
  <c r="I14" i="6" s="1"/>
  <c r="G13" i="6"/>
  <c r="H13" i="6" s="1"/>
  <c r="I13" i="6" s="1"/>
  <c r="G12" i="6"/>
  <c r="H12" i="6"/>
  <c r="I12" i="6" s="1"/>
  <c r="G11" i="6"/>
  <c r="H11" i="6" s="1"/>
  <c r="I11" i="6" s="1"/>
  <c r="G10" i="6"/>
  <c r="H10" i="6" s="1"/>
  <c r="I10" i="6" s="1"/>
  <c r="G9" i="6"/>
  <c r="H9" i="6" s="1"/>
  <c r="I9" i="6" s="1"/>
  <c r="G8" i="6"/>
  <c r="H8" i="6" s="1"/>
  <c r="I8" i="6" s="1"/>
  <c r="G7" i="6"/>
  <c r="H7" i="6" s="1"/>
  <c r="I7" i="6" s="1"/>
  <c r="G6" i="6"/>
  <c r="H6" i="6" s="1"/>
  <c r="I6" i="6" s="1"/>
  <c r="G5" i="6"/>
  <c r="H5" i="6" s="1"/>
  <c r="I5" i="6" s="1"/>
  <c r="J1" i="6"/>
  <c r="G3" i="6"/>
  <c r="H3" i="6" s="1"/>
  <c r="I3" i="6" s="1"/>
  <c r="G2" i="6"/>
  <c r="H2" i="6" s="1"/>
  <c r="I2" i="6" s="1"/>
  <c r="K2" i="5"/>
  <c r="G4" i="6"/>
  <c r="H4" i="6"/>
  <c r="I4" i="6" s="1"/>
  <c r="L30" i="1"/>
  <c r="I33" i="2"/>
  <c r="I32" i="2"/>
  <c r="B15" i="4"/>
  <c r="B14" i="4"/>
  <c r="B13" i="4"/>
  <c r="B12" i="4"/>
  <c r="C11" i="4"/>
  <c r="C10" i="4"/>
  <c r="B11" i="4"/>
  <c r="B10" i="4"/>
  <c r="B9" i="4"/>
  <c r="B8" i="4"/>
  <c r="B19" i="4"/>
  <c r="B7" i="4"/>
  <c r="B6" i="4"/>
  <c r="B3" i="4"/>
  <c r="B5" i="4"/>
  <c r="D6" i="2"/>
  <c r="E33" i="2"/>
  <c r="F33" i="2"/>
  <c r="H33" i="2"/>
  <c r="K33" i="2"/>
  <c r="F32" i="2"/>
  <c r="K32" i="2"/>
  <c r="H32" i="2"/>
  <c r="E32" i="2"/>
  <c r="G38" i="2"/>
  <c r="H38" i="2"/>
  <c r="H37" i="2"/>
  <c r="G37" i="2"/>
  <c r="C38" i="2"/>
  <c r="C13" i="4" s="1"/>
  <c r="C37" i="2"/>
  <c r="C12" i="4" s="1"/>
  <c r="I8" i="3"/>
  <c r="L16" i="1" s="1"/>
  <c r="L6" i="2"/>
  <c r="I7" i="2"/>
  <c r="L24" i="1"/>
  <c r="L25" i="1"/>
  <c r="K41" i="3"/>
  <c r="B33" i="2"/>
  <c r="C9" i="4" s="1"/>
  <c r="I1" i="6" l="1"/>
  <c r="M84" i="1" s="1"/>
  <c r="F5" i="3"/>
  <c r="D7" i="2"/>
  <c r="D8" i="2" s="1"/>
  <c r="I7" i="3"/>
  <c r="L15" i="1" s="1"/>
  <c r="G32" i="2"/>
  <c r="C32" i="2" s="1"/>
  <c r="D32" i="2" s="1"/>
  <c r="G33" i="2"/>
  <c r="C33" i="2" s="1"/>
  <c r="D33" i="2" s="1"/>
  <c r="C5" i="4"/>
  <c r="C6" i="4"/>
  <c r="C42" i="2"/>
  <c r="C14" i="4" s="1"/>
  <c r="J33" i="2"/>
  <c r="B84" i="2"/>
  <c r="B301" i="2" s="1"/>
  <c r="C84" i="2"/>
  <c r="C301" i="2" s="1"/>
  <c r="J32" i="2"/>
  <c r="F76" i="2"/>
  <c r="B76" i="2" s="1"/>
  <c r="B302" i="2" s="1"/>
  <c r="G76" i="2"/>
  <c r="C76" i="2" s="1"/>
  <c r="C7" i="4"/>
  <c r="L71" i="1"/>
  <c r="D9" i="2" l="1"/>
  <c r="E6" i="3"/>
  <c r="H6" i="3" s="1"/>
  <c r="I6" i="3" s="1"/>
  <c r="L14" i="1" s="1"/>
  <c r="E5" i="3"/>
  <c r="H5" i="3" s="1"/>
  <c r="B32" i="2"/>
  <c r="C8" i="4" s="1"/>
  <c r="C17" i="4" s="1"/>
  <c r="C78" i="2"/>
  <c r="C302" i="2"/>
  <c r="I5" i="3" l="1"/>
  <c r="B308" i="2"/>
  <c r="L13" i="1" l="1"/>
  <c r="L32" i="1" l="1"/>
  <c r="B311" i="2" s="1"/>
  <c r="L49" i="1" s="1"/>
  <c r="C3" i="4" s="1"/>
  <c r="C19" i="4" s="1"/>
  <c r="L74" i="1" s="1"/>
</calcChain>
</file>

<file path=xl/sharedStrings.xml><?xml version="1.0" encoding="utf-8"?>
<sst xmlns="http://schemas.openxmlformats.org/spreadsheetml/2006/main" count="977" uniqueCount="394">
  <si>
    <t>Salary / Self Employed</t>
  </si>
  <si>
    <t>Rental Income</t>
  </si>
  <si>
    <t>Net</t>
  </si>
  <si>
    <t>Gross Annual</t>
  </si>
  <si>
    <t>Tax</t>
  </si>
  <si>
    <t>Net Monthly</t>
  </si>
  <si>
    <t>Total Monthly Net Income</t>
  </si>
  <si>
    <t>Commitments</t>
  </si>
  <si>
    <t>Loan 2</t>
  </si>
  <si>
    <t>Loan 1</t>
  </si>
  <si>
    <t>Loan Amount</t>
  </si>
  <si>
    <t>RedZed Loan Applied For</t>
  </si>
  <si>
    <t>Existing Loans</t>
  </si>
  <si>
    <t>Credit Cards</t>
  </si>
  <si>
    <t>Total Monthly Commitments</t>
  </si>
  <si>
    <t>Wages Over</t>
  </si>
  <si>
    <t>Not to Exceed</t>
  </si>
  <si>
    <t>Tax Rate</t>
  </si>
  <si>
    <t>Medicare Levy</t>
  </si>
  <si>
    <t>Tax Calc</t>
  </si>
  <si>
    <t>Annual Gross</t>
  </si>
  <si>
    <t>Gross</t>
  </si>
  <si>
    <t>Medicare</t>
  </si>
  <si>
    <t>17604+</t>
  </si>
  <si>
    <t>Serviceability</t>
  </si>
  <si>
    <t>Must Be &gt; 1.1</t>
  </si>
  <si>
    <t>APR Buffer</t>
  </si>
  <si>
    <t>Available Income</t>
  </si>
  <si>
    <t>Existing</t>
  </si>
  <si>
    <t>New</t>
  </si>
  <si>
    <t>Maintenance / On Going Rent</t>
  </si>
  <si>
    <t>Total Credit Limits</t>
  </si>
  <si>
    <t>Information can be entered in the clear boxes, the grey boxes contain RedZed calculations.</t>
  </si>
  <si>
    <t>Monthly</t>
  </si>
  <si>
    <t>Interest Rate</t>
  </si>
  <si>
    <t>not currently used</t>
  </si>
  <si>
    <t>Taxable income</t>
  </si>
  <si>
    <t>Flood levy on this income</t>
  </si>
  <si>
    <t>$0 to $50,000</t>
  </si>
  <si>
    <t>Nil</t>
  </si>
  <si>
    <t>$50,001 to $100,000</t>
  </si>
  <si>
    <t>Half a cent for each $1 over $50,000</t>
  </si>
  <si>
    <t>Over $100,000</t>
  </si>
  <si>
    <t>$250 plus 1c for each $1 over $100,000</t>
  </si>
  <si>
    <t>Flood Levy</t>
  </si>
  <si>
    <t xml:space="preserve">                        </t>
  </si>
  <si>
    <t xml:space="preserve">   </t>
  </si>
  <si>
    <t xml:space="preserve"> </t>
  </si>
  <si>
    <t>Tax on this income</t>
  </si>
  <si>
    <t>0 - $18,200</t>
  </si>
  <si>
    <t>$18,201 - $37,000</t>
  </si>
  <si>
    <t>19c for each $1 over $18,200</t>
  </si>
  <si>
    <t>$3,572 plus 32.5c for each $1 over $37,000</t>
  </si>
  <si>
    <t>$180,001 and over</t>
  </si>
  <si>
    <t>$54,547 plus 45c for each $1 over $180,000</t>
  </si>
  <si>
    <t>Income Table</t>
  </si>
  <si>
    <t>Personal Income</t>
  </si>
  <si>
    <t>Applicant / G'Tor 1</t>
  </si>
  <si>
    <t>Applicant / G'Tor 2</t>
  </si>
  <si>
    <t>Applicant / G'Tor 3</t>
  </si>
  <si>
    <t>Applicant / G'Tor 4</t>
  </si>
  <si>
    <t>Once all company expenses and liabilities paid</t>
  </si>
  <si>
    <t>Monthly Living Expenses</t>
  </si>
  <si>
    <t>Applicants(s) declared expenses - mandatory</t>
  </si>
  <si>
    <t>Ongoing (combined) standard monthly living expenses declared by applicant(s)</t>
  </si>
  <si>
    <t>RedZed Living Allowance</t>
  </si>
  <si>
    <t>Number of adults - household 1</t>
  </si>
  <si>
    <t>Number of dependant children - household 1</t>
  </si>
  <si>
    <t>Number of adults - household 2</t>
  </si>
  <si>
    <t>Number of dependant children - household 2</t>
  </si>
  <si>
    <t>Total Monthly Living Expenses used in assessment</t>
  </si>
  <si>
    <t>Financier</t>
  </si>
  <si>
    <t>Other Fixed Monthly Repayments</t>
  </si>
  <si>
    <t>PAYG or Alt Doc</t>
  </si>
  <si>
    <t>Applicant / Guarantor 1</t>
  </si>
  <si>
    <t>Applicant / Guarantor 2</t>
  </si>
  <si>
    <t>Applicant / Guarantor 3</t>
  </si>
  <si>
    <t>Applicant / Guarantor 4</t>
  </si>
  <si>
    <t>*Serviceability for Company Applicants will be based on the Company &amp; Guarantors joint ability to service all debts</t>
  </si>
  <si>
    <t>Company Applicants NPBT - Alt Doc</t>
  </si>
  <si>
    <t>I, the Introducer, confirm that reasonable enquiries about the applicant(s) current and ongoing financial situation have been undertaken and are reflected in the figures entered into this calculation. The applicants(s) have been given sufficient time to consider the declared monthly living expenses amount which has been derived following due consideration.</t>
  </si>
  <si>
    <t>Loan 1 - Existing Secured</t>
  </si>
  <si>
    <t>Loan 2 - Existing Secured</t>
  </si>
  <si>
    <t>Loan 3 - Existing Unsecured</t>
  </si>
  <si>
    <t>Loan 4 - Existing Unsecured</t>
  </si>
  <si>
    <t>Additional Fees for Serviceability</t>
  </si>
  <si>
    <t>Monthly Account Keeping Fee Resi</t>
  </si>
  <si>
    <t>Less</t>
  </si>
  <si>
    <t>Plus</t>
  </si>
  <si>
    <t>Minimum Rate</t>
  </si>
  <si>
    <t>Amount</t>
  </si>
  <si>
    <t>Minimum %</t>
  </si>
  <si>
    <t>Rate %</t>
  </si>
  <si>
    <t>Buffer %</t>
  </si>
  <si>
    <t>Buffered %</t>
  </si>
  <si>
    <t>Enter Source of Income</t>
  </si>
  <si>
    <t>Company Income (if applicable)</t>
  </si>
  <si>
    <t>$17,547 plus 37c for each $1 over $87,000</t>
  </si>
  <si>
    <t>Rate</t>
  </si>
  <si>
    <t>Company Tax</t>
  </si>
  <si>
    <t>Total Term</t>
  </si>
  <si>
    <t>Interest Only Term</t>
  </si>
  <si>
    <t>Serviceability Cell Calculation</t>
  </si>
  <si>
    <t>Divided by</t>
  </si>
  <si>
    <t>Buffered Loan 1</t>
  </si>
  <si>
    <t>Buffered Loan 2</t>
  </si>
  <si>
    <t>Existing Loan: Repayment With Buffer</t>
  </si>
  <si>
    <t>RedZed Loan Applied For: Repayment With Buffer</t>
  </si>
  <si>
    <t>Fees - Loan 1</t>
  </si>
  <si>
    <t>Fees - Loan 2</t>
  </si>
  <si>
    <t>Total Monthly Commitments (After Repayment Buffering &amp; Fees)</t>
  </si>
  <si>
    <t>Net Term</t>
  </si>
  <si>
    <t>#</t>
  </si>
  <si>
    <t>Date</t>
  </si>
  <si>
    <t>Submitted By</t>
  </si>
  <si>
    <t>Sheet Name (if applicable)</t>
  </si>
  <si>
    <t>Problem</t>
  </si>
  <si>
    <t>Initial Review Assessment</t>
  </si>
  <si>
    <t>Review Result Date</t>
  </si>
  <si>
    <t>Review With User</t>
  </si>
  <si>
    <t>Review Result or Action to Take</t>
  </si>
  <si>
    <t>Sheets Affected</t>
  </si>
  <si>
    <t>Release Version #</t>
  </si>
  <si>
    <t>Type</t>
  </si>
  <si>
    <t>Estimate (hrs)</t>
  </si>
  <si>
    <t>Actual</t>
  </si>
  <si>
    <t>Status</t>
  </si>
  <si>
    <t>Date Unit Tested</t>
  </si>
  <si>
    <t>Bill Slattery</t>
  </si>
  <si>
    <t>Enhancement</t>
  </si>
  <si>
    <t>Completed</t>
  </si>
  <si>
    <t>Serviceability Calc</t>
  </si>
  <si>
    <t>Add Serviceabilty Calculation Sheet as per Consolidated User Problem #131.</t>
  </si>
  <si>
    <t>Name as "Serviceability Calc"</t>
  </si>
  <si>
    <t>Mario Lorenzi</t>
  </si>
  <si>
    <t xml:space="preserve">Add two macros:
-Ctl/Shift/B to unhide the calculation sheets
-Ctl/Shift/H to hide the calculation sheets
</t>
  </si>
  <si>
    <t>Tables</t>
  </si>
  <si>
    <t>Change Company Tax Rate to 28.5%</t>
  </si>
  <si>
    <t>Set up a  a new Company Tax Table on Tables sheet. Change Company Income Calculation (Cell K18) to reference the new Company Tax Table.</t>
  </si>
  <si>
    <t>Add Interest Only Term cells for RedZed Loans 1 and 2 on Serviceability sheet.
Change the Rate buffering calculation to use the net term (Total Term less Interest Only Term)</t>
  </si>
  <si>
    <t>Add Source of Other Incomes cell for each of the Other Regular Monthly Income lines on the Serviceability sheets.</t>
  </si>
  <si>
    <t>Change Company Income heading to display "Company Income (if applicable)"</t>
  </si>
  <si>
    <t xml:space="preserve">Swap columns displaying Existing &amp; New v Rental Income/Rental Income </t>
  </si>
  <si>
    <t>Change Personal Income descriptors from "Guarantor 1, 2, 3, and 4" to "Applicant / Guarantor 1, 2, 3, and 4"</t>
  </si>
  <si>
    <t>Tables Sheet - Highlight in yellow those data cells that can be changed to reflect legislation or company policy changes.</t>
  </si>
  <si>
    <t>Tax Calc Sheet - delete Other Income Cells A10 to I13</t>
  </si>
  <si>
    <t>Tax Calc Sheet - delete "Correct Formula For Serviceability - Don’t Think Arm Can Do This" Cells L1 to R25</t>
  </si>
  <si>
    <t>Fix formatting of Financier Cells for Existing Loans</t>
  </si>
  <si>
    <t>Name</t>
  </si>
  <si>
    <t>Version #</t>
  </si>
  <si>
    <t>Development Version File Name</t>
  </si>
  <si>
    <t>Changes</t>
  </si>
  <si>
    <t>Released Version</t>
  </si>
  <si>
    <t>Current Version</t>
  </si>
  <si>
    <t>Trevor Smith</t>
  </si>
  <si>
    <t>User Problem 1</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</si>
  <si>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</si>
  <si>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</si>
  <si>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</si>
  <si>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</si>
  <si>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</si>
  <si>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</si>
  <si>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</si>
  <si>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</si>
  <si>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</si>
  <si>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</si>
  <si>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</si>
  <si>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</si>
  <si>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</si>
  <si>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</si>
  <si>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</si>
  <si>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</si>
  <si>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</si>
  <si>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</si>
  <si>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</si>
  <si>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</si>
  <si>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</si>
  <si>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</si>
  <si>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</si>
  <si>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</si>
  <si>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</si>
  <si>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</si>
  <si>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</si>
  <si>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</si>
  <si>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</si>
  <si>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</si>
  <si>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</si>
  <si>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 xml:space="preserve">What we are trying to achieve is a stress test of servicing capacity at the higher of;
1. The selected interest rate + 2% or 
2. 7% 
This change should only apply to Residential loans.
</t>
  </si>
  <si>
    <t>V6.4 Test</t>
  </si>
  <si>
    <t>K:\IT\Change_Work Requests\Work Request\WR004 - Commercial Calculator\02 Residential Calculator\2017 05 Changes\4. REDZED-Serviceability-170410-V6.4 Test.xls</t>
  </si>
  <si>
    <t>Data Maintenance</t>
  </si>
  <si>
    <t>Bug</t>
  </si>
  <si>
    <t>The tax table in the Residential calculator is not the same as in the Consolidated Calculator. Looks like the Residential Calculator was not updated for the 2017/2018 change to the upper limit for the 32.5% rate (ie from $80000 to $87000).</t>
  </si>
  <si>
    <t>Change the tax table in the Residential Calculator in expectation you want it to match that in the Consolidated Calculator.</t>
  </si>
  <si>
    <t>Change as recommended</t>
  </si>
  <si>
    <t>K:\IT\Change_Work Requests\Work Request\WR004 - Commercial Calculator\02 Residential Calculator\2017 05 Changes\4. REDZED-Serviceability-170410-V6.4 Test2.xls</t>
  </si>
  <si>
    <t>User Problem 2</t>
  </si>
  <si>
    <t>K:\IT\Change_Work Requests\Work Request\WR004 - Commercial Calculator\02 Residential Calculator\2017 05 Changes\4. REDZED-Serviceability-170410-V6.6 Test.xls</t>
  </si>
  <si>
    <t>Check Monthly Service Fee calculation - to assume entry of Residential Loans only - calculated at $15 per month</t>
  </si>
  <si>
    <t>Company Income headings realigned to display above the detail line</t>
  </si>
  <si>
    <t>Company Income section moved to display after Rental Income</t>
  </si>
  <si>
    <t>K:\IT\Change_Work Requests\Work Request\WR004 - Commercial Calculator\02 Residential Calculator\2017 05 Changes\4. REDZED-Serviceability-170410-V6.8 Test.xls</t>
  </si>
  <si>
    <t>User Problems 3 - 14 inclusive</t>
  </si>
  <si>
    <t>User Problems 15 - 17 inclusive</t>
  </si>
  <si>
    <t>User Problems
Version Control</t>
  </si>
  <si>
    <t>Add Sheets for User Problems and Version Control.</t>
  </si>
  <si>
    <t>K:\IT\Change_Work Requests\Work Request\WR004 - Commercial Calculator\02 Residential Calculator\2017 05 Changes\4. REDZED-Serviceability-170410-V6.9.xls</t>
  </si>
  <si>
    <t>Change Look &amp; Feel as per 4.0 ServiceabilityCalculator.xlsx</t>
  </si>
  <si>
    <t>Angelo Klidomitis</t>
  </si>
  <si>
    <t>RedZed Lending Solutions Pty Ltd (ACL 311128)</t>
  </si>
  <si>
    <r>
      <t xml:space="preserve">Application name - </t>
    </r>
    <r>
      <rPr>
        <b/>
        <sz val="14"/>
        <color rgb="FF53565A"/>
        <rFont val="Arial"/>
        <family val="2"/>
      </rPr>
      <t>mandatory</t>
    </r>
  </si>
  <si>
    <r>
      <t>Other Regular Monthly Income</t>
    </r>
    <r>
      <rPr>
        <i/>
        <sz val="14"/>
        <color rgb="FF53565A"/>
        <rFont val="Arial"/>
        <family val="2"/>
      </rPr>
      <t xml:space="preserve"> </t>
    </r>
    <r>
      <rPr>
        <i/>
        <sz val="9"/>
        <color rgb="FF53565A"/>
        <rFont val="Arial"/>
        <family val="2"/>
      </rPr>
      <t>(eg - welfare payments, investments)</t>
    </r>
  </si>
  <si>
    <t>Note: An interest rate buffer is automatically applied by the calculator. You do not need to apply a separate buffer.</t>
  </si>
  <si>
    <t>This Serviceability Calculator is intended as a guide only and no loan approval can be assumed on the basis of the results of this calculator. All applications remain subject to the normal credit and approval criteria of RedZed Lending Solutions Pty Ltd.</t>
  </si>
  <si>
    <t>Mario Lorenzi &amp; Bill Slattery</t>
  </si>
  <si>
    <t>Increase readability of printed version of the sheet</t>
  </si>
  <si>
    <t>V6.4 Test2  (v6.42)</t>
  </si>
  <si>
    <t>V6.6 Test (v6.43)</t>
  </si>
  <si>
    <t>V6.8 Test (v6.44)</t>
  </si>
  <si>
    <t>V6.9 (v6.45)</t>
  </si>
  <si>
    <t>V6.10 (v6.46)</t>
  </si>
  <si>
    <r>
      <t xml:space="preserve">K:\IT\Change_Work Requests\Work Request\WR004 - Commercial Calculator\02 Residential Calculator\2017 05 Changes\4. REDZED-Serviceability-170410-V6.10.xls
</t>
    </r>
    <r>
      <rPr>
        <sz val="12"/>
        <color rgb="FF0000FF"/>
        <rFont val="Verdana"/>
        <family val="2"/>
      </rPr>
      <t xml:space="preserve">A changed versioning system for both this Residential Calculator and the Commercial Calculator was agreed with Tina Georgiadis 26 June 2015 (after receiving feedback from Angel Klidomitis). The last version of the Residential Calculator was named "4. REDZED-Serviceability-170410-V6.4.xls". The naming convention is being changed to "REDZED-Serviceability </t>
    </r>
    <r>
      <rPr>
        <u/>
        <sz val="12"/>
        <color rgb="FF0000FF"/>
        <rFont val="Verdana"/>
        <family val="2"/>
      </rPr>
      <t>Type</t>
    </r>
    <r>
      <rPr>
        <sz val="12"/>
        <color rgb="FF0000FF"/>
        <rFont val="Verdana"/>
        <family val="2"/>
      </rPr>
      <t xml:space="preserve"> (ie Residential or Commercial) </t>
    </r>
    <r>
      <rPr>
        <u/>
        <sz val="12"/>
        <color rgb="FF0000FF"/>
        <rFont val="Verdana"/>
        <family val="2"/>
      </rPr>
      <t>Version Number</t>
    </r>
    <r>
      <rPr>
        <sz val="12"/>
        <color rgb="FF0000FF"/>
        <rFont val="Verdana"/>
        <family val="2"/>
      </rPr>
      <t xml:space="preserve">.xls". Each release will have a date added as a suffix in the format yymmdd. Because the upcoming release does not contain major ammendments it will be named  "REDZED-Serviceability Residential v6.5 yymmdd.xls". This being the case, the naming of the development files should have been as per the bracketed values in the Version # cells (eg 4. REDZED-Serviceability-170410-V6.4 Test.xls should have been 4. REDZED-Serviceability-170410-V6.41.xls)
</t>
    </r>
    <r>
      <rPr>
        <sz val="12"/>
        <color rgb="FFFF0000"/>
        <rFont val="Verdana"/>
        <family val="2"/>
      </rPr>
      <t>To move to the new numbering system this version was copied and renamed and saved to the new development and release folder structure 26 June 2017. The new location and file name is K:\Credit\Servicing Calculator - Residential\Development - Residential\REDZED-Serviceability Residential V0.646.xlsm. The released version number for this series of amendments will be v6.5 with a date added in the format yymmdd.</t>
    </r>
  </si>
  <si>
    <t>Issued to Mario Lorenzi for testing 20 June 2017</t>
  </si>
  <si>
    <t>User Problem 18 - 19</t>
  </si>
  <si>
    <t>A renamed version + User Problem 20</t>
  </si>
  <si>
    <t>1) Borders missing for  Enter Source of Income, Rental Income, Maintenance, &amp; Other Fixed Monthly Repayments.
2) Enter a zero in each dollar entry cell so the user is aware it is available for entry.</t>
  </si>
  <si>
    <t>K:\Credit\Servicing Calculator - Residential\Development - Residential\REDZED-Serviceability Residential V0.647.xlsm</t>
  </si>
  <si>
    <t>v6.47 Pending</t>
  </si>
  <si>
    <t>User Problem 21</t>
  </si>
  <si>
    <t>Enhancement &amp; Bug</t>
  </si>
  <si>
    <t>v6.5</t>
  </si>
  <si>
    <t>K:\Credit\Servicing Calculator - Residential\Current Released Version - Residential\REDZED-Serviceability Residential V6.5.xlsm</t>
  </si>
  <si>
    <t>Development Version #</t>
  </si>
  <si>
    <t>Column1</t>
  </si>
  <si>
    <t>Single Adult</t>
  </si>
  <si>
    <t>Single Adult + 1 Dependant</t>
  </si>
  <si>
    <t>Single Adult + 2 Dependants</t>
  </si>
  <si>
    <t>Single Adult + 3 Dependants</t>
  </si>
  <si>
    <t>Single Adult + 4 Dependants</t>
  </si>
  <si>
    <t>Single Adult + 5 Dependants</t>
  </si>
  <si>
    <t>Single Adult + 6 Dependants</t>
  </si>
  <si>
    <t>Couple</t>
  </si>
  <si>
    <t>Couple + 1 Dependant</t>
  </si>
  <si>
    <t>Couple + 2 Dependants</t>
  </si>
  <si>
    <t>Couple + 3 Dependants</t>
  </si>
  <si>
    <t>Couple + 4 Dependants</t>
  </si>
  <si>
    <t>Couple + 5 Dependants</t>
  </si>
  <si>
    <t>Couple + 6 Dependants</t>
  </si>
  <si>
    <t>Income Range ($)</t>
  </si>
  <si>
    <t>Proposed Benchmark</t>
  </si>
  <si>
    <t>Household 1</t>
  </si>
  <si>
    <t>Household 2</t>
  </si>
  <si>
    <t>Applicant Totals</t>
  </si>
  <si>
    <t>Adults - household</t>
  </si>
  <si>
    <t>Adults - household - new</t>
  </si>
  <si>
    <t>Dependant children - household</t>
  </si>
  <si>
    <t>Adult</t>
  </si>
  <si>
    <t xml:space="preserve">Dependent </t>
  </si>
  <si>
    <t>LookupKey</t>
  </si>
  <si>
    <t>Household</t>
  </si>
  <si>
    <t>Income Range</t>
  </si>
  <si>
    <t>Living Expense</t>
  </si>
  <si>
    <t>Adult-1,Dependents-0</t>
  </si>
  <si>
    <t>Adult-1,Dependents-1</t>
  </si>
  <si>
    <t>Adult-1,Dependents-2</t>
  </si>
  <si>
    <t>Adult-1,Dependents-3</t>
  </si>
  <si>
    <t>Adult-1,Dependents-4</t>
  </si>
  <si>
    <t>Adult-1,Dependents-5</t>
  </si>
  <si>
    <t>Adult-1,Dependents-6</t>
  </si>
  <si>
    <t>Adult-2,Dependents-0</t>
  </si>
  <si>
    <t>Adult-2,Dependents-1</t>
  </si>
  <si>
    <t>Adult-2,Dependents-2</t>
  </si>
  <si>
    <t>Adult-2,Dependents-3</t>
  </si>
  <si>
    <t>Adult-2,Dependents-4</t>
  </si>
  <si>
    <t>Adult-2,Dependents-5</t>
  </si>
  <si>
    <t>Adult-2,Dependents-6</t>
  </si>
  <si>
    <t>Household Key</t>
  </si>
  <si>
    <t>Salary Key</t>
  </si>
  <si>
    <t>Household Living Expense</t>
  </si>
  <si>
    <t>Monthly expense</t>
  </si>
  <si>
    <t>Avaiable Income</t>
  </si>
  <si>
    <t>Other Income</t>
  </si>
  <si>
    <t>Monthly Income</t>
  </si>
  <si>
    <t>Select Household</t>
  </si>
  <si>
    <t>RedZed Loan Applied For Loan1</t>
  </si>
  <si>
    <t>RedZed Loan Applied For Loan2</t>
  </si>
  <si>
    <t xml:space="preserve">Updated the living expense </t>
  </si>
  <si>
    <t>V7.1A</t>
  </si>
  <si>
    <t>Company</t>
  </si>
  <si>
    <t>Always Household 1</t>
  </si>
  <si>
    <t>V7.2</t>
  </si>
  <si>
    <t>updated living expense for Company
selecting household is mandatory
updated the tax scale
compnay income is always attached to household 1</t>
  </si>
  <si>
    <t>$37,001 - $90,000</t>
  </si>
  <si>
    <t>$90,001 - $180,000</t>
  </si>
  <si>
    <t/>
  </si>
  <si>
    <t xml:space="preserve">Lorraine Taylor </t>
  </si>
  <si>
    <t>Servicebility</t>
  </si>
  <si>
    <t>IF more then three adult in one household please display the mssage</t>
  </si>
  <si>
    <t>V7.3</t>
  </si>
  <si>
    <t>V7.2.1</t>
  </si>
  <si>
    <t>(@3.82%)</t>
  </si>
  <si>
    <t>Mayank Badhen</t>
  </si>
  <si>
    <t>credit card obligations</t>
  </si>
  <si>
    <t>V7.4</t>
  </si>
  <si>
    <t>IO term fixed</t>
  </si>
  <si>
    <t>Years</t>
  </si>
  <si>
    <t>0 - 21,000</t>
  </si>
  <si>
    <t>-</t>
  </si>
  <si>
    <t>21,001 - 32,000</t>
  </si>
  <si>
    <t>32,001 - 43,000</t>
  </si>
  <si>
    <t>43,001 - 53,000</t>
  </si>
  <si>
    <t>53,001 - 64,000</t>
  </si>
  <si>
    <t>64,001 - 85,000</t>
  </si>
  <si>
    <t>85,001 - 107,000</t>
  </si>
  <si>
    <t>107,001 - 128,000</t>
  </si>
  <si>
    <t>128,001 - 150,000</t>
  </si>
  <si>
    <t>150,001 - 171,000</t>
  </si>
  <si>
    <t>171,001 - 214,000</t>
  </si>
  <si>
    <t>214,001 - 267,000</t>
  </si>
  <si>
    <t>267,000 - 321,000</t>
  </si>
  <si>
    <t>321,001 plus</t>
  </si>
  <si>
    <t>0-21000</t>
  </si>
  <si>
    <t>21000-32000</t>
  </si>
  <si>
    <t>32001-43000</t>
  </si>
  <si>
    <t>43001-53000</t>
  </si>
  <si>
    <t>53001-64000</t>
  </si>
  <si>
    <t>64001-85000</t>
  </si>
  <si>
    <t>85001-107000</t>
  </si>
  <si>
    <t>107001-128000</t>
  </si>
  <si>
    <t>128001-150000</t>
  </si>
  <si>
    <t>150001-171000</t>
  </si>
  <si>
    <t>171001-214000</t>
  </si>
  <si>
    <t>214001-267000</t>
  </si>
  <si>
    <t>267001-321000</t>
  </si>
  <si>
    <t>321000+</t>
  </si>
  <si>
    <t>John Jiang</t>
  </si>
  <si>
    <t>V10.0</t>
  </si>
  <si>
    <t xml:space="preserve">1. Residential calculator 
a. Introduction of a traffic light Pass, Refer to RZ or Fail notification. Pass &gt;1.10, Refer &gt;1.05 – 1.10, Fail below 1.05. The introduction of the Refer category is designed to encourage brokers to Refer deals where we don’t quite meet servicing requirements, but in discussion with RZ we may jointly find a way forward. Potentially these deals may be currently being sent to other lenders who have lower servicing ratio benchmarks). 
b. Creating a blank template.
c. Removal of the tax calculation for company income to fall in line with the policy which states that we assess on NPBT.
Other general changes including ensuring;
1. Living expenses were consistent across all selections (there were some errors &amp; inconsistencies)
2. Tax scales were checked and amended for consistency.
</t>
  </si>
  <si>
    <t>Changed footer</t>
  </si>
  <si>
    <t>V10.0 Residential</t>
  </si>
  <si>
    <t>V10.1</t>
  </si>
  <si>
    <t>changed tax bracket to new 2020 tax regulation</t>
  </si>
  <si>
    <t>Lower and Middle income offset</t>
  </si>
  <si>
    <t>Low Income offset</t>
  </si>
  <si>
    <t>Test low income</t>
  </si>
  <si>
    <t>Test lower and middle income offset</t>
  </si>
  <si>
    <t>income</t>
  </si>
  <si>
    <t>offset baseline</t>
  </si>
  <si>
    <t>Income lower range</t>
  </si>
  <si>
    <t>Income - Lower range</t>
  </si>
  <si>
    <t>offset reduced amount</t>
  </si>
  <si>
    <t>offset reduced %</t>
  </si>
  <si>
    <t>offset amount</t>
  </si>
  <si>
    <t>Formula</t>
  </si>
  <si>
    <t>( income - income lower range ) *offset rate + baseline</t>
  </si>
  <si>
    <t>Income offset</t>
  </si>
  <si>
    <t>V10.11</t>
  </si>
  <si>
    <t>change interest floor rate from 7% to 6%</t>
  </si>
  <si>
    <t>Single Adult +1</t>
  </si>
  <si>
    <t>Single Adult +2</t>
  </si>
  <si>
    <t>Single Adult +3</t>
  </si>
  <si>
    <t>Single Adult +4</t>
  </si>
  <si>
    <t>Single Adult +5</t>
  </si>
  <si>
    <t>Single Adult +6</t>
  </si>
  <si>
    <t>Couple +1</t>
  </si>
  <si>
    <t>Couple +2</t>
  </si>
  <si>
    <t>Couple +3</t>
  </si>
  <si>
    <t>Couple +4</t>
  </si>
  <si>
    <t>Couple +5</t>
  </si>
  <si>
    <t>Couple +6</t>
  </si>
  <si>
    <t>43,001 - 54,000</t>
  </si>
  <si>
    <t>54,001 - 65,000</t>
  </si>
  <si>
    <t>65,001 - 86,000</t>
  </si>
  <si>
    <t>86,001 - 108,000</t>
  </si>
  <si>
    <t>108,001 - 129,000</t>
  </si>
  <si>
    <t>129,001 - 151,000</t>
  </si>
  <si>
    <t>151,001 - 172,000</t>
  </si>
  <si>
    <t>172,001 - 215,000</t>
  </si>
  <si>
    <t>215,001 - 269,000</t>
  </si>
  <si>
    <t>269,000 - 323,000</t>
  </si>
  <si>
    <t>323,001 plus</t>
  </si>
  <si>
    <t>Income Range lookup</t>
  </si>
  <si>
    <t>Row Offset Value</t>
  </si>
  <si>
    <t>Single/Couple</t>
  </si>
  <si>
    <t>Dependents</t>
  </si>
  <si>
    <t>Dependents/Household Number</t>
  </si>
  <si>
    <t>HEM Min Living Expense</t>
  </si>
  <si>
    <t>Gross Income</t>
  </si>
  <si>
    <t>HEM Starting Value</t>
  </si>
  <si>
    <t>HEM Row Offset Value</t>
  </si>
  <si>
    <t>HEM Column Offset Value</t>
  </si>
  <si>
    <t>V10.12</t>
  </si>
  <si>
    <t>Update HEM table according to Sept 2020 quarter data from HEM</t>
  </si>
  <si>
    <r>
      <t xml:space="preserve">Serviceability Calculator </t>
    </r>
    <r>
      <rPr>
        <b/>
        <sz val="24"/>
        <color rgb="FF0070C0"/>
        <rFont val="Arial"/>
        <family val="2"/>
      </rPr>
      <t>(Residential)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</si>
</sst>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8" formatCode="&quot;$&quot;#,##0.00_);[Red]\(&quot;$&quot;#,##0.00\)"/>
    <numFmt numFmtId="44" formatCode="_(&quot;$&quot;* #,##0.00_);_(&quot;$&quot;* \(#,##0.00\);_(&quot;$&quot;* &quot;-&quot;??_);_(@_)"/>
    <numFmt numFmtId="43" formatCode="_(* #,##0.00_);_(* \(#,##0.00\);_(* &quot;-&quot;??_);_(@_)"/>
    <numFmt numFmtId="164" formatCode="&quot;$&quot;#,##0;[Red]\-&quot;$&quot;#,##0"/>
    <numFmt numFmtId="165" formatCode="0.0000"/>
    <numFmt numFmtId="166" formatCode="_-* #,##0_-;\-* #,##0_-;_-* &quot;-&quot;??_-;_-@_-"/>
    <numFmt numFmtId="167" formatCode="_-* #,##0.0000_-;\-* #,##0.0000_-;_-* &quot;-&quot;??_-;_-@_-"/>
    <numFmt numFmtId="168" formatCode="_-* #,##0.000_-;\-* #,##0.000_-;_-* &quot;-&quot;???_-;_-@_-"/>
    <numFmt numFmtId="169" formatCode="0.0%"/>
    <numFmt numFmtId="170" formatCode="_-&quot;$&quot;* #,##0_-;\-&quot;$&quot;* #,##0_-;_-&quot;$&quot;* &quot;-&quot;??_-;_-@_-"/>
    <numFmt numFmtId="171" formatCode="_-* #,##0.00000_-;\-* #,##0.00000_-;_-* &quot;-&quot;??_-;_-@_-"/>
    <numFmt numFmtId="172" formatCode="&quot;$&quot;#,##0.00"/>
    <numFmt numFmtId="173" formatCode="_ * #,##0_ ;_ * \-#,##0_ ;_ * &quot;-&quot;??_ ;_ @_ "/>
    <numFmt numFmtId="174" formatCode="_(* #,##0_);_(* \(#,##0\);_(* &quot;-&quot;??_);_(@_)"/>
  </numFmts>
  <fonts count="67">
    <font>
      <sz val="10"/>
      <name val="Arial"/>
    </font>
    <font>
      <sz val="10"/>
      <name val="Arial"/>
      <family val="2"/>
    </font>
    <font>
      <b/>
      <sz val="10"/>
      <name val="Arial"/>
      <family val="2"/>
    </font>
    <font>
      <sz val="8"/>
      <name val="Arial"/>
      <family val="2"/>
    </font>
    <font>
      <b/>
      <sz val="10"/>
      <color indexed="9"/>
      <name val="Arial"/>
      <family val="2"/>
    </font>
    <font>
      <sz val="10"/>
      <color indexed="9"/>
      <name val="Arial"/>
      <family val="2"/>
    </font>
    <font>
      <sz val="10"/>
      <name val="Univers Extended"/>
      <family val="2"/>
    </font>
    <font>
      <sz val="10"/>
      <name val="Arial"/>
      <family val="2"/>
    </font>
    <font>
      <sz val="14"/>
      <name val="Verdana"/>
      <family val="2"/>
    </font>
    <font>
      <sz val="10"/>
      <name val="Verdana"/>
      <family val="2"/>
    </font>
    <font>
      <sz val="14"/>
      <name val="Arial"/>
      <family val="2"/>
    </font>
    <font>
      <sz val="12"/>
      <name val="Verdana"/>
      <family val="2"/>
    </font>
    <font>
      <i/>
      <sz val="12"/>
      <name val="Arial"/>
      <family val="2"/>
    </font>
    <font>
      <b/>
      <sz val="12"/>
      <name val="Verdana"/>
      <family val="2"/>
    </font>
    <font>
      <i/>
      <sz val="10"/>
      <name val="Verdana"/>
      <family val="2"/>
    </font>
    <font>
      <b/>
      <sz val="12"/>
      <color indexed="9"/>
      <name val="Arial"/>
      <family val="2"/>
    </font>
    <font>
      <sz val="10"/>
      <color indexed="9"/>
      <name val="Verdana"/>
      <family val="2"/>
    </font>
    <font>
      <b/>
      <sz val="10"/>
      <name val="Verdana"/>
      <family val="2"/>
    </font>
    <font>
      <sz val="10"/>
      <name val="Arial"/>
      <family val="2"/>
    </font>
    <font>
      <sz val="10"/>
      <color theme="0"/>
      <name val="Arial"/>
      <family val="2"/>
    </font>
    <font>
      <b/>
      <sz val="11"/>
      <color theme="1"/>
      <name val="Verdana"/>
      <family val="2"/>
    </font>
    <font>
      <sz val="11"/>
      <name val="Verdana"/>
      <family val="2"/>
    </font>
    <font>
      <sz val="11"/>
      <name val="Arial"/>
      <family val="2"/>
    </font>
    <font>
      <sz val="12"/>
      <name val="Arial"/>
      <family val="2"/>
    </font>
    <font>
      <sz val="14"/>
      <color rgb="FF53565A"/>
      <name val="Arial"/>
      <family val="2"/>
    </font>
    <font>
      <b/>
      <sz val="18"/>
      <color indexed="9"/>
      <name val="Arial"/>
      <family val="2"/>
    </font>
    <font>
      <b/>
      <sz val="14"/>
      <color rgb="FF53565A"/>
      <name val="Arial"/>
      <family val="2"/>
    </font>
    <font>
      <sz val="10"/>
      <color indexed="18"/>
      <name val="Arial"/>
      <family val="2"/>
    </font>
    <font>
      <b/>
      <sz val="12"/>
      <name val="Arial"/>
      <family val="2"/>
    </font>
    <font>
      <b/>
      <sz val="15"/>
      <color rgb="FF53565A"/>
      <name val="Arial"/>
      <family val="2"/>
    </font>
    <font>
      <sz val="15"/>
      <color rgb="FF53565A"/>
      <name val="Arial"/>
      <family val="2"/>
    </font>
    <font>
      <sz val="15"/>
      <name val="Arial"/>
      <family val="2"/>
    </font>
    <font>
      <b/>
      <sz val="12"/>
      <color rgb="FF53565A"/>
      <name val="Arial"/>
      <family val="2"/>
    </font>
    <font>
      <i/>
      <sz val="14"/>
      <color rgb="FF53565A"/>
      <name val="Arial"/>
      <family val="2"/>
    </font>
    <font>
      <i/>
      <sz val="12"/>
      <color rgb="FF53565A"/>
      <name val="Arial"/>
      <family val="2"/>
    </font>
    <font>
      <i/>
      <sz val="9"/>
      <color rgb="FF53565A"/>
      <name val="Arial"/>
      <family val="2"/>
    </font>
    <font>
      <b/>
      <sz val="15"/>
      <color indexed="9"/>
      <name val="Arial"/>
      <family val="2"/>
    </font>
    <font>
      <sz val="12.5"/>
      <name val="Arial"/>
      <family val="2"/>
    </font>
    <font>
      <b/>
      <sz val="15"/>
      <color rgb="FFCE1317"/>
      <name val="Arial"/>
      <family val="2"/>
    </font>
    <font>
      <b/>
      <sz val="13"/>
      <color rgb="FF53565A"/>
      <name val="Arial"/>
      <family val="2"/>
    </font>
    <font>
      <sz val="13"/>
      <color rgb="FF53565A"/>
      <name val="Arial"/>
      <family val="2"/>
    </font>
    <font>
      <sz val="12"/>
      <color rgb="FF0000FF"/>
      <name val="Verdana"/>
      <family val="2"/>
    </font>
    <font>
      <u/>
      <sz val="12"/>
      <color rgb="FF0000FF"/>
      <name val="Verdana"/>
      <family val="2"/>
    </font>
    <font>
      <sz val="12"/>
      <color rgb="FFFF0000"/>
      <name val="Verdana"/>
      <family val="2"/>
    </font>
    <font>
      <b/>
      <sz val="11"/>
      <color theme="1"/>
      <name val="Calibri"/>
      <family val="2"/>
      <scheme val="minor"/>
    </font>
    <font>
      <b/>
      <sz val="11"/>
      <name val="Calibri"/>
      <family val="2"/>
      <scheme val="minor"/>
    </font>
    <font>
      <sz val="10"/>
      <color rgb="FF000000"/>
      <name val="Arial"/>
      <family val="2"/>
    </font>
    <font>
      <sz val="14"/>
      <color theme="1" tint="0.34998626667073579"/>
      <name val="Arial"/>
      <family val="2"/>
    </font>
    <font>
      <b/>
      <sz val="11"/>
      <color rgb="FFFF0000"/>
      <name val="Arial"/>
      <family val="2"/>
    </font>
    <font>
      <b/>
      <sz val="10"/>
      <color rgb="FF53565A"/>
      <name val="Arial"/>
      <family val="2"/>
    </font>
    <font>
      <sz val="10"/>
      <color rgb="FF53565A"/>
      <name val="Arial"/>
      <family val="2"/>
    </font>
    <font>
      <b/>
      <sz val="11"/>
      <color rgb="FFFF0000"/>
      <name val="Calibri"/>
      <family val="2"/>
      <scheme val="minor"/>
    </font>
    <font>
      <sz val="10"/>
      <color rgb="FFFF0000"/>
      <name val="Arial"/>
      <family val="2"/>
    </font>
    <font>
      <b/>
      <sz val="15"/>
      <color theme="0"/>
      <name val="Arial"/>
      <family val="2"/>
    </font>
    <font>
      <b/>
      <sz val="14"/>
      <color theme="0"/>
      <name val="Arial"/>
      <family val="2"/>
    </font>
    <font>
      <b/>
      <i/>
      <sz val="10"/>
      <color theme="0"/>
      <name val="Arial"/>
      <family val="2"/>
    </font>
    <font>
      <b/>
      <sz val="15"/>
      <color rgb="FFEDE0EA"/>
      <name val="Arial"/>
      <family val="2"/>
    </font>
    <font>
      <b/>
      <sz val="18"/>
      <color rgb="FFEDE0EA"/>
      <name val="Arial"/>
      <family val="2"/>
    </font>
    <font>
      <b/>
      <sz val="11"/>
      <color theme="0"/>
      <name val="Calibri"/>
      <family val="2"/>
      <scheme val="minor"/>
    </font>
    <font>
      <sz val="11"/>
      <color rgb="FFFF0000"/>
      <name val="Calibri"/>
      <family val="2"/>
      <scheme val="minor"/>
    </font>
    <font>
      <sz val="11"/>
      <name val="Calibri"/>
      <family val="2"/>
      <scheme val="minor"/>
    </font>
    <font>
      <b/>
      <sz val="10"/>
      <color theme="1"/>
      <name val="Arial"/>
      <family val="2"/>
    </font>
    <font>
      <b/>
      <sz val="10"/>
      <color theme="0" tint="-4.9989318521683403E-2"/>
      <name val="Arial"/>
      <family val="2"/>
    </font>
    <font>
      <b/>
      <sz val="8"/>
      <color rgb="FF53565A"/>
      <name val="Arial"/>
      <family val="2"/>
    </font>
    <font>
      <sz val="14"/>
      <color rgb="FF0070C0"/>
      <name val="Arial"/>
      <family val="2"/>
    </font>
    <font>
      <b/>
      <sz val="48"/>
      <color rgb="FF0070C0"/>
      <name val="Arial"/>
      <family val="2"/>
    </font>
    <font>
      <b/>
      <sz val="24"/>
      <color rgb="FF0070C0"/>
      <name val="Arial"/>
      <family val="2"/>
    </font>
  </fonts>
  <fills count="25">
    <fill>
      <patternFill patternType="none"/>
    </fill>
    <fill>
      <patternFill patternType="gray125"/>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FFFFFF"/>
        <bgColor indexed="64"/>
      </patternFill>
    </fill>
    <fill>
      <patternFill patternType="solid">
        <fgColor theme="0" tint="-0.249977111117893"/>
        <bgColor indexed="64"/>
      </patternFill>
    </fill>
    <fill>
      <patternFill patternType="solid">
        <fgColor rgb="FFFFFF00"/>
        <bgColor indexed="64"/>
      </patternFill>
    </fill>
    <fill>
      <patternFill patternType="solid">
        <fgColor rgb="FFB3B3B3"/>
        <bgColor indexed="64"/>
      </patternFill>
    </fill>
    <fill>
      <patternFill patternType="solid">
        <fgColor rgb="FFFFFFFE"/>
        <bgColor indexed="64"/>
      </patternFill>
    </fill>
    <fill>
      <patternFill patternType="solid">
        <fgColor rgb="FFDADBD6"/>
        <bgColor indexed="64"/>
      </patternFill>
    </fill>
    <fill>
      <patternFill patternType="solid">
        <fgColor rgb="FFDA291D"/>
        <bgColor indexed="64"/>
      </patternFill>
    </fill>
    <fill>
      <patternFill patternType="solid">
        <fgColor rgb="FFDAEEF3"/>
        <bgColor indexed="64"/>
      </patternFill>
    </fill>
    <fill>
      <patternFill patternType="solid">
        <fgColor rgb="FFA7C9D2"/>
        <bgColor indexed="6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0"/>
        <bgColor indexed="64"/>
      </patternFill>
    </fill>
    <fill>
      <patternFill patternType="solid">
        <fgColor theme="4" tint="0.79998168889431442"/>
        <bgColor indexed="64"/>
      </patternFill>
    </fill>
    <fill>
      <patternFill patternType="solid">
        <fgColor rgb="FFEDE0EA"/>
        <bgColor indexed="64"/>
      </patternFill>
    </fill>
    <fill>
      <patternFill patternType="solid">
        <fgColor rgb="FF00B050"/>
        <bgColor indexed="64"/>
      </patternFill>
    </fill>
    <fill>
      <patternFill patternType="solid">
        <fgColor theme="4" tint="0.59999389629810485"/>
        <bgColor indexed="64"/>
      </patternFill>
    </fill>
    <fill>
      <patternFill patternType="solid">
        <fgColor theme="4"/>
        <bgColor theme="4"/>
      </patternFill>
    </fill>
    <fill>
      <patternFill patternType="solid">
        <fgColor rgb="FFFFFF00"/>
        <bgColor theme="4" tint="0.79998168889431442"/>
      </patternFill>
    </fill>
    <fill>
      <patternFill patternType="solid">
        <fgColor rgb="FFFFFF00"/>
        <bgColor theme="4" tint="0.59999389629810485"/>
      </patternFill>
    </fill>
    <fill>
      <patternFill patternType="solid">
        <fgColor theme="9" tint="-0.249977111117893"/>
        <bgColor indexed="64"/>
      </patternFill>
    </fill>
  </fills>
  <borders count="71">
    <border>
      <left/>
      <right/>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thick">
        <color auto="1"/>
      </top>
      <bottom style="thick">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medium">
        <color rgb="FFDADBD6"/>
      </left>
      <right style="medium">
        <color rgb="FFDADBD6"/>
      </right>
      <top style="medium">
        <color rgb="FFDADBD6"/>
      </top>
      <bottom style="medium">
        <color rgb="FFDADBD6"/>
      </bottom>
      <diagonal/>
    </border>
    <border>
      <left style="medium">
        <color rgb="FFDADBD6"/>
      </left>
      <right/>
      <top style="medium">
        <color rgb="FFDADBD6"/>
      </top>
      <bottom style="medium">
        <color rgb="FFDADBD6"/>
      </bottom>
      <diagonal/>
    </border>
    <border>
      <left/>
      <right/>
      <top style="medium">
        <color rgb="FFDADBD6"/>
      </top>
      <bottom style="medium">
        <color rgb="FFDADBD6"/>
      </bottom>
      <diagonal/>
    </border>
    <border>
      <left/>
      <right style="medium">
        <color rgb="FFDADBD6"/>
      </right>
      <top style="medium">
        <color rgb="FFDADBD6"/>
      </top>
      <bottom style="medium">
        <color rgb="FFDADBD6"/>
      </bottom>
      <diagonal/>
    </border>
    <border>
      <left style="medium">
        <color rgb="FFDADBD6"/>
      </left>
      <right/>
      <top/>
      <bottom/>
      <diagonal/>
    </border>
    <border>
      <left style="thick">
        <color rgb="FFDADBD6"/>
      </left>
      <right/>
      <top style="thick">
        <color rgb="FFDADBD6"/>
      </top>
      <bottom/>
      <diagonal/>
    </border>
    <border>
      <left/>
      <right/>
      <top style="thick">
        <color rgb="FFDADBD6"/>
      </top>
      <bottom/>
      <diagonal/>
    </border>
    <border>
      <left/>
      <right style="thick">
        <color rgb="FFDADBD6"/>
      </right>
      <top style="thick">
        <color rgb="FFDADBD6"/>
      </top>
      <bottom/>
      <diagonal/>
    </border>
    <border>
      <left style="thick">
        <color rgb="FFDADBD6"/>
      </left>
      <right/>
      <top/>
      <bottom/>
      <diagonal/>
    </border>
    <border>
      <left/>
      <right style="thick">
        <color rgb="FFDADBD6"/>
      </right>
      <top/>
      <bottom/>
      <diagonal/>
    </border>
    <border>
      <left style="thick">
        <color rgb="FFDADBD6"/>
      </left>
      <right/>
      <top/>
      <bottom style="thick">
        <color rgb="FFDADBD6"/>
      </bottom>
      <diagonal/>
    </border>
    <border>
      <left/>
      <right/>
      <top/>
      <bottom style="thick">
        <color rgb="FFDADBD6"/>
      </bottom>
      <diagonal/>
    </border>
    <border>
      <left/>
      <right style="thick">
        <color rgb="FFDADBD6"/>
      </right>
      <top/>
      <bottom style="thick">
        <color rgb="FFDADBD6"/>
      </bottom>
      <diagonal/>
    </border>
    <border>
      <left style="medium">
        <color rgb="FFDADBD6"/>
      </left>
      <right/>
      <top style="medium">
        <color rgb="FFDADBD6"/>
      </top>
      <bottom/>
      <diagonal/>
    </border>
    <border>
      <left/>
      <right/>
      <top style="medium">
        <color rgb="FFDADBD6"/>
      </top>
      <bottom/>
      <diagonal/>
    </border>
    <border>
      <left/>
      <right style="medium">
        <color rgb="FFDADBD6"/>
      </right>
      <top style="medium">
        <color rgb="FFDADBD6"/>
      </top>
      <bottom/>
      <diagonal/>
    </border>
    <border>
      <left/>
      <right style="medium">
        <color rgb="FFDADBD6"/>
      </right>
      <top/>
      <bottom/>
      <diagonal/>
    </border>
    <border>
      <left style="medium">
        <color rgb="FFDADBD6"/>
      </left>
      <right/>
      <top/>
      <bottom style="medium">
        <color rgb="FFDADBD6"/>
      </bottom>
      <diagonal/>
    </border>
    <border>
      <left/>
      <right/>
      <top/>
      <bottom style="medium">
        <color rgb="FFDADBD6"/>
      </bottom>
      <diagonal/>
    </border>
    <border>
      <left/>
      <right style="medium">
        <color rgb="FFDADBD6"/>
      </right>
      <top/>
      <bottom style="medium">
        <color rgb="FFDADBD6"/>
      </bottom>
      <diagonal/>
    </border>
    <border>
      <left style="medium">
        <color rgb="FFDADBD6"/>
      </left>
      <right style="medium">
        <color rgb="FFDADBD6"/>
      </right>
      <top style="medium">
        <color rgb="FFDADBD6"/>
      </top>
      <bottom/>
      <diagonal/>
    </border>
    <border>
      <left style="medium">
        <color rgb="FFDADBD6"/>
      </left>
      <right style="medium">
        <color rgb="FFDADBD6"/>
      </right>
      <top/>
      <bottom/>
      <diagonal/>
    </border>
    <border>
      <left style="medium">
        <color rgb="FFDADBD6"/>
      </left>
      <right style="medium">
        <color rgb="FFDADBD6"/>
      </right>
      <top/>
      <bottom style="medium">
        <color rgb="FFDADBD6"/>
      </bottom>
      <diagonal/>
    </border>
    <border>
      <left/>
      <right style="thick">
        <color rgb="FFDADBD6"/>
      </right>
      <top/>
      <bottom style="medium">
        <color rgb="FFDADBD6"/>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theme="0"/>
      </left>
      <right style="thin">
        <color auto="1"/>
      </right>
      <top style="thin">
        <color auto="1"/>
      </top>
      <bottom style="thin">
        <color auto="1"/>
      </bottom>
      <diagonal/>
    </border>
    <border>
      <left/>
      <right style="medium">
        <color theme="0" tint="-0.14999847407452621"/>
      </right>
      <top/>
      <bottom/>
      <diagonal/>
    </border>
    <border>
      <left style="medium">
        <color theme="0" tint="-0.14999847407452621"/>
      </left>
      <right/>
      <top/>
      <bottom/>
      <diagonal/>
    </border>
    <border>
      <left style="medium">
        <color theme="0" tint="-0.14999847407452621"/>
      </left>
      <right/>
      <top/>
      <bottom style="medium">
        <color rgb="FFDADBD6"/>
      </bottom>
      <diagonal/>
    </border>
    <border>
      <left style="medium">
        <color theme="0" tint="-0.14999847407452621"/>
      </left>
      <right style="medium">
        <color theme="0" tint="-0.14999847407452621"/>
      </right>
      <top style="medium">
        <color theme="0" tint="-0.14999847407452621"/>
      </top>
      <bottom/>
      <diagonal/>
    </border>
    <border>
      <left style="medium">
        <color theme="0" tint="-0.14999847407452621"/>
      </left>
      <right style="medium">
        <color theme="0" tint="-0.14999847407452621"/>
      </right>
      <top/>
      <bottom style="medium">
        <color theme="0" tint="-0.14999847407452621"/>
      </bottom>
      <diagonal/>
    </border>
    <border>
      <left style="medium">
        <color theme="0" tint="-0.14999847407452621"/>
      </left>
      <right style="medium">
        <color theme="0" tint="-0.14999847407452621"/>
      </right>
      <top/>
      <bottom/>
      <diagonal/>
    </border>
    <border>
      <left/>
      <right/>
      <top style="medium">
        <color theme="0" tint="-0.14999847407452621"/>
      </top>
      <bottom/>
      <diagonal/>
    </border>
    <border>
      <left style="thin">
        <color auto="1"/>
      </left>
      <right/>
      <top style="thin">
        <color auto="1"/>
      </top>
      <bottom/>
      <diagonal/>
    </border>
    <border>
      <left style="thin">
        <color theme="0"/>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bottom style="thin">
        <color indexed="64"/>
      </bottom>
      <diagonal/>
    </border>
    <border>
      <left style="thin">
        <color theme="0"/>
      </left>
      <right style="thin">
        <color theme="0"/>
      </right>
      <top/>
      <bottom style="thick">
        <color theme="0"/>
      </bottom>
      <diagonal/>
    </border>
    <border>
      <left style="thin">
        <color theme="0"/>
      </left>
      <right/>
      <top/>
      <bottom style="thick">
        <color theme="0"/>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medium">
        <color auto="1"/>
      </right>
      <top style="medium">
        <color auto="1"/>
      </top>
      <bottom/>
      <diagonal/>
    </border>
    <border>
      <left style="thin">
        <color indexed="64"/>
      </left>
      <right style="medium">
        <color auto="1"/>
      </right>
      <top/>
      <bottom/>
      <diagonal/>
    </border>
    <border>
      <left style="thin">
        <color indexed="64"/>
      </left>
      <right style="medium">
        <color auto="1"/>
      </right>
      <top/>
      <bottom style="medium">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411">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4" fillId="2" borderId="5" xfId="0" applyFont="1" applyFill="1" applyBorder="1"/>
    <xf numFmtId="0" fontId="5" fillId="2" borderId="6" xfId="0" applyFont="1" applyFill="1" applyBorder="1"/>
    <xf numFmtId="0" fontId="4" fillId="2" borderId="6" xfId="0" applyFont="1" applyFill="1" applyBorder="1"/>
    <xf numFmtId="0" fontId="5" fillId="2" borderId="7" xfId="0" applyFont="1" applyFill="1" applyBorder="1"/>
    <xf numFmtId="0" fontId="2" fillId="0" borderId="0" xfId="0" applyFont="1" applyBorder="1"/>
    <xf numFmtId="43" fontId="0" fillId="0" borderId="0" xfId="1" applyFont="1"/>
    <xf numFmtId="165" fontId="0" fillId="0" borderId="0" xfId="0" applyNumberFormat="1"/>
    <xf numFmtId="166" fontId="0" fillId="0" borderId="0" xfId="1" applyNumberFormat="1" applyFont="1"/>
    <xf numFmtId="166" fontId="0" fillId="0" borderId="0" xfId="0" applyNumberFormat="1"/>
    <xf numFmtId="167" fontId="0" fillId="0" borderId="0" xfId="0" applyNumberFormat="1"/>
    <xf numFmtId="168" fontId="0" fillId="0" borderId="0" xfId="0" applyNumberFormat="1"/>
    <xf numFmtId="44" fontId="0" fillId="0" borderId="0" xfId="3" applyFont="1"/>
    <xf numFmtId="10" fontId="0" fillId="0" borderId="0" xfId="5" applyNumberFormat="1" applyFont="1"/>
    <xf numFmtId="166" fontId="0" fillId="0" borderId="0" xfId="1" applyNumberFormat="1" applyFont="1" applyBorder="1"/>
    <xf numFmtId="10" fontId="0" fillId="0" borderId="0" xfId="5" applyNumberFormat="1" applyFont="1" applyBorder="1"/>
    <xf numFmtId="166" fontId="0" fillId="0" borderId="8" xfId="1" applyNumberFormat="1" applyFont="1" applyBorder="1"/>
    <xf numFmtId="166" fontId="0" fillId="0" borderId="3" xfId="1" applyNumberFormat="1" applyFont="1" applyBorder="1"/>
    <xf numFmtId="10" fontId="0" fillId="0" borderId="4" xfId="5" applyNumberFormat="1" applyFont="1" applyBorder="1"/>
    <xf numFmtId="44" fontId="0" fillId="0" borderId="0" xfId="3" applyFont="1" applyBorder="1"/>
    <xf numFmtId="44" fontId="0" fillId="0" borderId="3" xfId="3" applyFont="1" applyBorder="1"/>
    <xf numFmtId="0" fontId="2" fillId="0" borderId="1" xfId="0" applyFont="1" applyBorder="1"/>
    <xf numFmtId="0" fontId="2" fillId="0" borderId="2" xfId="0" applyFont="1" applyBorder="1"/>
    <xf numFmtId="0" fontId="2" fillId="0" borderId="8" xfId="0" applyFont="1" applyBorder="1"/>
    <xf numFmtId="0" fontId="5" fillId="0" borderId="0" xfId="0" applyFont="1" applyFill="1" applyBorder="1"/>
    <xf numFmtId="0" fontId="0" fillId="0" borderId="8" xfId="0" applyBorder="1" applyAlignment="1">
      <alignment horizontal="right"/>
    </xf>
    <xf numFmtId="0" fontId="1" fillId="0" borderId="0" xfId="0" applyFont="1"/>
    <xf numFmtId="0" fontId="1" fillId="0" borderId="1" xfId="0" applyFont="1" applyBorder="1"/>
    <xf numFmtId="0" fontId="1" fillId="0" borderId="0" xfId="0" applyFont="1" applyBorder="1"/>
    <xf numFmtId="166" fontId="7" fillId="3" borderId="9" xfId="0" applyNumberFormat="1" applyFont="1" applyFill="1" applyBorder="1"/>
    <xf numFmtId="0" fontId="7" fillId="0" borderId="0" xfId="0" applyFont="1"/>
    <xf numFmtId="0" fontId="7" fillId="0" borderId="0" xfId="0" applyFont="1" applyBorder="1"/>
    <xf numFmtId="166" fontId="7" fillId="3" borderId="10" xfId="0" applyNumberFormat="1" applyFont="1" applyFill="1" applyBorder="1"/>
    <xf numFmtId="0" fontId="7" fillId="0" borderId="0" xfId="0" applyFont="1" applyFill="1" applyBorder="1"/>
    <xf numFmtId="0" fontId="1" fillId="0" borderId="2" xfId="0" applyFont="1" applyBorder="1"/>
    <xf numFmtId="0" fontId="7" fillId="0" borderId="2" xfId="0" applyFont="1" applyBorder="1"/>
    <xf numFmtId="0" fontId="7" fillId="0" borderId="8" xfId="0" applyFont="1" applyBorder="1"/>
    <xf numFmtId="0" fontId="7" fillId="0" borderId="3" xfId="0" applyFont="1" applyBorder="1"/>
    <xf numFmtId="0" fontId="7" fillId="0" borderId="4" xfId="0" applyFont="1" applyBorder="1"/>
    <xf numFmtId="0" fontId="1" fillId="2" borderId="7" xfId="0" applyFont="1" applyFill="1" applyBorder="1"/>
    <xf numFmtId="0" fontId="4" fillId="2" borderId="11" xfId="0" applyFont="1" applyFill="1" applyBorder="1"/>
    <xf numFmtId="166" fontId="7" fillId="0" borderId="0" xfId="0" applyNumberFormat="1" applyFont="1"/>
    <xf numFmtId="43" fontId="7" fillId="0" borderId="0" xfId="0" applyNumberFormat="1" applyFont="1"/>
    <xf numFmtId="43" fontId="7" fillId="0" borderId="0" xfId="1" applyFont="1"/>
    <xf numFmtId="166" fontId="7" fillId="0" borderId="0" xfId="1" applyNumberFormat="1" applyFont="1"/>
    <xf numFmtId="168" fontId="7" fillId="0" borderId="0" xfId="0" applyNumberFormat="1" applyFont="1"/>
    <xf numFmtId="170" fontId="7" fillId="0" borderId="0" xfId="0" applyNumberFormat="1" applyFont="1"/>
    <xf numFmtId="171" fontId="7" fillId="0" borderId="0" xfId="0" applyNumberFormat="1" applyFont="1"/>
    <xf numFmtId="44" fontId="7" fillId="0" borderId="0" xfId="0" applyNumberFormat="1" applyFont="1"/>
    <xf numFmtId="10" fontId="0" fillId="0" borderId="3" xfId="5" applyNumberFormat="1" applyFont="1" applyBorder="1"/>
    <xf numFmtId="10" fontId="4" fillId="2" borderId="6" xfId="5" applyNumberFormat="1" applyFont="1" applyFill="1" applyBorder="1"/>
    <xf numFmtId="0" fontId="0" fillId="2" borderId="7" xfId="0" applyFill="1" applyBorder="1"/>
    <xf numFmtId="0" fontId="0" fillId="2" borderId="6" xfId="0" applyFill="1" applyBorder="1"/>
    <xf numFmtId="10" fontId="5" fillId="2" borderId="6" xfId="5" applyNumberFormat="1" applyFont="1" applyFill="1" applyBorder="1"/>
    <xf numFmtId="0" fontId="0" fillId="3" borderId="1" xfId="0" applyFill="1" applyBorder="1"/>
    <xf numFmtId="0" fontId="0" fillId="3" borderId="0" xfId="0" applyFill="1" applyBorder="1"/>
    <xf numFmtId="10" fontId="0" fillId="3" borderId="0" xfId="5" applyNumberFormat="1" applyFont="1" applyFill="1" applyBorder="1"/>
    <xf numFmtId="8" fontId="0" fillId="0" borderId="0" xfId="0" applyNumberFormat="1"/>
    <xf numFmtId="0" fontId="2" fillId="5" borderId="16" xfId="0" applyFont="1" applyFill="1" applyBorder="1" applyAlignment="1">
      <alignment vertical="top" wrapText="1"/>
    </xf>
    <xf numFmtId="0" fontId="1" fillId="5" borderId="16" xfId="0" applyFont="1" applyFill="1" applyBorder="1" applyAlignment="1">
      <alignment vertical="top" wrapText="1"/>
    </xf>
    <xf numFmtId="10" fontId="0" fillId="0" borderId="0" xfId="0" applyNumberFormat="1"/>
    <xf numFmtId="166" fontId="0" fillId="0" borderId="0" xfId="5" applyNumberFormat="1" applyFont="1" applyBorder="1"/>
    <xf numFmtId="169" fontId="0" fillId="0" borderId="0" xfId="5" applyNumberFormat="1" applyFont="1"/>
    <xf numFmtId="0" fontId="1" fillId="0" borderId="0" xfId="0" applyFont="1" applyFill="1" applyBorder="1"/>
    <xf numFmtId="0" fontId="2" fillId="5" borderId="16" xfId="0" applyFont="1" applyFill="1" applyBorder="1" applyAlignment="1">
      <alignment vertical="center" wrapText="1"/>
    </xf>
    <xf numFmtId="0" fontId="1" fillId="5" borderId="16" xfId="0" applyFont="1" applyFill="1" applyBorder="1" applyAlignment="1">
      <alignment vertical="center" wrapText="1"/>
    </xf>
    <xf numFmtId="166" fontId="7" fillId="3" borderId="14" xfId="0" applyNumberFormat="1" applyFont="1" applyFill="1" applyBorder="1"/>
    <xf numFmtId="170" fontId="6" fillId="3" borderId="9" xfId="1" applyNumberFormat="1" applyFont="1" applyFill="1" applyBorder="1" applyAlignment="1" applyProtection="1">
      <alignment horizontal="right"/>
    </xf>
    <xf numFmtId="170" fontId="6" fillId="3" borderId="14" xfId="1" applyNumberFormat="1" applyFont="1" applyFill="1" applyBorder="1" applyAlignment="1" applyProtection="1">
      <alignment horizontal="right"/>
    </xf>
    <xf numFmtId="170" fontId="6" fillId="3" borderId="10" xfId="1" applyNumberFormat="1" applyFont="1" applyFill="1" applyBorder="1" applyAlignment="1" applyProtection="1">
      <alignment horizontal="right"/>
    </xf>
    <xf numFmtId="10" fontId="0" fillId="0" borderId="0" xfId="0" applyNumberFormat="1" applyBorder="1"/>
    <xf numFmtId="10" fontId="0" fillId="0" borderId="3" xfId="0" applyNumberFormat="1" applyBorder="1"/>
    <xf numFmtId="172" fontId="0" fillId="0" borderId="2" xfId="0" applyNumberFormat="1" applyBorder="1"/>
    <xf numFmtId="172" fontId="0" fillId="0" borderId="4" xfId="0" applyNumberFormat="1" applyBorder="1"/>
    <xf numFmtId="0" fontId="4" fillId="2" borderId="5" xfId="4" applyFont="1" applyFill="1" applyBorder="1"/>
    <xf numFmtId="10" fontId="5" fillId="2" borderId="6" xfId="6" applyNumberFormat="1" applyFont="1" applyFill="1" applyBorder="1"/>
    <xf numFmtId="0" fontId="1" fillId="2" borderId="6" xfId="4" applyFill="1" applyBorder="1"/>
    <xf numFmtId="0" fontId="1" fillId="2" borderId="7" xfId="4" applyFill="1" applyBorder="1"/>
    <xf numFmtId="0" fontId="2" fillId="0" borderId="5" xfId="4" applyFont="1" applyBorder="1"/>
    <xf numFmtId="0" fontId="1" fillId="0" borderId="7" xfId="4" applyBorder="1"/>
    <xf numFmtId="0" fontId="1" fillId="0" borderId="0" xfId="4" applyBorder="1"/>
    <xf numFmtId="0" fontId="1" fillId="0" borderId="2" xfId="4" applyBorder="1"/>
    <xf numFmtId="0" fontId="19" fillId="2" borderId="7" xfId="0" applyFont="1" applyFill="1" applyBorder="1" applyAlignment="1">
      <alignment horizontal="right"/>
    </xf>
    <xf numFmtId="0" fontId="19" fillId="2" borderId="6" xfId="0" applyFont="1" applyFill="1" applyBorder="1" applyAlignment="1">
      <alignment horizontal="right"/>
    </xf>
    <xf numFmtId="1" fontId="0" fillId="0" borderId="0" xfId="0" applyNumberFormat="1"/>
    <xf numFmtId="0" fontId="2" fillId="0" borderId="0" xfId="0" applyFont="1" applyAlignment="1">
      <alignment horizontal="right"/>
    </xf>
    <xf numFmtId="0" fontId="2" fillId="0" borderId="0" xfId="0" applyFont="1" applyFill="1" applyBorder="1" applyAlignment="1">
      <alignment horizontal="right"/>
    </xf>
    <xf numFmtId="10" fontId="0" fillId="0" borderId="4" xfId="0" applyNumberFormat="1" applyBorder="1"/>
    <xf numFmtId="10" fontId="0" fillId="0" borderId="2" xfId="0" applyNumberFormat="1" applyBorder="1"/>
    <xf numFmtId="0" fontId="1" fillId="5" borderId="0" xfId="0" applyFont="1" applyFill="1" applyBorder="1" applyAlignment="1">
      <alignment vertical="center" wrapText="1"/>
    </xf>
    <xf numFmtId="166" fontId="18" fillId="7" borderId="1" xfId="1" applyNumberFormat="1" applyFont="1" applyFill="1" applyBorder="1"/>
    <xf numFmtId="166" fontId="18" fillId="7" borderId="0" xfId="1" applyNumberFormat="1" applyFont="1" applyFill="1" applyBorder="1"/>
    <xf numFmtId="10" fontId="18" fillId="7" borderId="0" xfId="5" applyNumberFormat="1" applyFont="1" applyFill="1" applyBorder="1"/>
    <xf numFmtId="10" fontId="18" fillId="7" borderId="2" xfId="5" applyNumberFormat="1" applyFont="1" applyFill="1" applyBorder="1"/>
    <xf numFmtId="166" fontId="18" fillId="7" borderId="1" xfId="1" applyNumberFormat="1" applyFont="1" applyFill="1" applyBorder="1" applyAlignment="1">
      <alignment vertical="center"/>
    </xf>
    <xf numFmtId="166" fontId="18" fillId="7" borderId="0" xfId="1" applyNumberFormat="1" applyFont="1" applyFill="1" applyBorder="1" applyAlignment="1">
      <alignment vertical="center"/>
    </xf>
    <xf numFmtId="10" fontId="18" fillId="7" borderId="0" xfId="5" applyNumberFormat="1" applyFont="1" applyFill="1" applyBorder="1" applyAlignment="1">
      <alignment vertical="center"/>
    </xf>
    <xf numFmtId="173" fontId="18" fillId="7" borderId="2" xfId="1" applyNumberFormat="1" applyFont="1" applyFill="1" applyBorder="1" applyAlignment="1">
      <alignment vertical="center"/>
    </xf>
    <xf numFmtId="10" fontId="18" fillId="7" borderId="15" xfId="5" applyNumberFormat="1" applyFont="1" applyFill="1" applyBorder="1"/>
    <xf numFmtId="0" fontId="8" fillId="0" borderId="0" xfId="0" applyFont="1" applyFill="1" applyProtection="1"/>
    <xf numFmtId="170" fontId="8" fillId="0" borderId="0" xfId="0" applyNumberFormat="1" applyFont="1" applyFill="1" applyProtection="1"/>
    <xf numFmtId="0" fontId="9" fillId="0" borderId="0" xfId="0" applyFont="1" applyFill="1" applyProtection="1"/>
    <xf numFmtId="170" fontId="9" fillId="0" borderId="0" xfId="0" applyNumberFormat="1" applyFont="1" applyFill="1" applyProtection="1"/>
    <xf numFmtId="0" fontId="14" fillId="0" borderId="0" xfId="0" applyFont="1" applyFill="1" applyProtection="1"/>
    <xf numFmtId="43" fontId="16" fillId="2" borderId="12" xfId="1" applyNumberFormat="1" applyFont="1" applyFill="1" applyBorder="1" applyProtection="1"/>
    <xf numFmtId="0" fontId="17" fillId="0" borderId="0" xfId="0" applyFont="1" applyFill="1" applyProtection="1"/>
    <xf numFmtId="170" fontId="17" fillId="0" borderId="0" xfId="0" applyNumberFormat="1" applyFont="1" applyFill="1" applyProtection="1"/>
    <xf numFmtId="170" fontId="17" fillId="0" borderId="0" xfId="0" applyNumberFormat="1" applyFont="1" applyFill="1" applyAlignment="1" applyProtection="1">
      <alignment vertical="center"/>
    </xf>
    <xf numFmtId="0" fontId="17" fillId="0" borderId="0" xfId="0" applyFont="1" applyFill="1" applyAlignment="1" applyProtection="1">
      <alignment vertical="center" wrapText="1"/>
    </xf>
    <xf numFmtId="166" fontId="18" fillId="7" borderId="6" xfId="2" applyNumberFormat="1" applyFont="1" applyFill="1" applyBorder="1"/>
    <xf numFmtId="166" fontId="18" fillId="7" borderId="0" xfId="2" applyNumberFormat="1" applyFont="1" applyFill="1" applyBorder="1"/>
    <xf numFmtId="10" fontId="0" fillId="7" borderId="0" xfId="0" applyNumberFormat="1" applyFill="1" applyBorder="1"/>
    <xf numFmtId="10" fontId="2" fillId="7" borderId="13" xfId="5" applyNumberFormat="1" applyFont="1" applyFill="1" applyBorder="1"/>
    <xf numFmtId="0" fontId="20" fillId="0" borderId="17" xfId="0" applyFont="1" applyBorder="1" applyAlignment="1">
      <alignment horizontal="center" vertical="top"/>
    </xf>
    <xf numFmtId="0" fontId="20" fillId="0" borderId="17" xfId="0" applyFont="1" applyBorder="1" applyAlignment="1">
      <alignment horizontal="center" vertical="top" wrapText="1"/>
    </xf>
    <xf numFmtId="0" fontId="20" fillId="0" borderId="17" xfId="0" applyFont="1" applyBorder="1" applyAlignment="1">
      <alignment vertical="top"/>
    </xf>
    <xf numFmtId="0" fontId="20" fillId="0" borderId="17" xfId="0" applyFont="1" applyBorder="1" applyAlignment="1">
      <alignment vertical="top" wrapText="1"/>
    </xf>
    <xf numFmtId="0" fontId="9" fillId="0" borderId="0" xfId="0" applyFont="1"/>
    <xf numFmtId="0" fontId="21" fillId="0" borderId="17" xfId="7" applyFont="1" applyBorder="1" applyAlignment="1">
      <alignment horizontal="center" vertical="top" wrapText="1"/>
    </xf>
    <xf numFmtId="14" fontId="21" fillId="0" borderId="17" xfId="7" applyNumberFormat="1" applyFont="1" applyBorder="1" applyAlignment="1">
      <alignment horizontal="center" vertical="top" wrapText="1"/>
    </xf>
    <xf numFmtId="0" fontId="21" fillId="0" borderId="17" xfId="7" applyFont="1" applyBorder="1" applyAlignment="1">
      <alignment vertical="top" wrapText="1"/>
    </xf>
    <xf numFmtId="0" fontId="21" fillId="0" borderId="17" xfId="7" applyFont="1" applyFill="1" applyBorder="1" applyAlignment="1">
      <alignment vertical="top" wrapText="1"/>
    </xf>
    <xf numFmtId="0" fontId="22" fillId="0" borderId="17" xfId="7" applyFont="1" applyBorder="1" applyAlignment="1">
      <alignment vertical="top"/>
    </xf>
    <xf numFmtId="16" fontId="22" fillId="0" borderId="17" xfId="7" applyNumberFormat="1" applyFont="1" applyBorder="1" applyAlignment="1">
      <alignment vertical="top"/>
    </xf>
    <xf numFmtId="0" fontId="22" fillId="0" borderId="0" xfId="7" applyFont="1" applyAlignment="1">
      <alignment vertical="top"/>
    </xf>
    <xf numFmtId="0" fontId="0" fillId="0" borderId="0" xfId="0" applyAlignment="1">
      <alignment horizontal="center"/>
    </xf>
    <xf numFmtId="0" fontId="13" fillId="8" borderId="17" xfId="7" applyFont="1" applyFill="1" applyBorder="1" applyAlignment="1">
      <alignment vertical="center" wrapText="1"/>
    </xf>
    <xf numFmtId="0" fontId="13" fillId="8" borderId="17" xfId="7" applyFont="1" applyFill="1" applyBorder="1" applyAlignment="1">
      <alignment horizontal="center" vertical="center" wrapText="1"/>
    </xf>
    <xf numFmtId="0" fontId="13" fillId="7" borderId="17" xfId="7" applyFont="1" applyFill="1" applyBorder="1" applyAlignment="1">
      <alignment vertical="center" wrapText="1"/>
    </xf>
    <xf numFmtId="14" fontId="23" fillId="7" borderId="17" xfId="7" applyNumberFormat="1" applyFont="1" applyFill="1" applyBorder="1" applyAlignment="1">
      <alignment vertical="center"/>
    </xf>
    <xf numFmtId="14" fontId="23" fillId="0" borderId="17" xfId="7" applyNumberFormat="1" applyFont="1" applyBorder="1" applyAlignment="1">
      <alignment vertical="center"/>
    </xf>
    <xf numFmtId="0" fontId="1" fillId="0" borderId="17" xfId="7" applyBorder="1" applyAlignment="1">
      <alignment vertical="center"/>
    </xf>
    <xf numFmtId="0" fontId="1" fillId="0" borderId="0" xfId="7" applyAlignment="1">
      <alignment vertical="center"/>
    </xf>
    <xf numFmtId="0" fontId="11" fillId="0" borderId="17" xfId="7" applyFont="1" applyBorder="1" applyAlignment="1">
      <alignment vertical="center" wrapText="1"/>
    </xf>
    <xf numFmtId="14" fontId="11" fillId="0" borderId="17" xfId="7" applyNumberFormat="1" applyFont="1" applyBorder="1" applyAlignment="1">
      <alignment horizontal="center" vertical="center" wrapText="1"/>
    </xf>
    <xf numFmtId="0" fontId="11" fillId="0" borderId="17" xfId="7" applyFont="1" applyBorder="1" applyAlignment="1">
      <alignment horizontal="center" vertical="center" wrapText="1"/>
    </xf>
    <xf numFmtId="14" fontId="11" fillId="6" borderId="17" xfId="7" applyNumberFormat="1" applyFont="1" applyFill="1" applyBorder="1" applyAlignment="1">
      <alignment horizontal="center" vertical="center" wrapText="1"/>
    </xf>
    <xf numFmtId="14" fontId="23" fillId="6" borderId="17" xfId="7" applyNumberFormat="1" applyFont="1" applyFill="1" applyBorder="1" applyAlignment="1">
      <alignment vertical="center"/>
    </xf>
    <xf numFmtId="0" fontId="23" fillId="6" borderId="17" xfId="7" applyFont="1" applyFill="1" applyBorder="1" applyAlignment="1">
      <alignment vertical="center"/>
    </xf>
    <xf numFmtId="49" fontId="1" fillId="0" borderId="0" xfId="0" applyNumberFormat="1" applyFont="1"/>
    <xf numFmtId="0" fontId="22" fillId="0" borderId="17" xfId="7" applyFont="1" applyBorder="1" applyAlignment="1">
      <alignment vertical="top" wrapText="1"/>
    </xf>
    <xf numFmtId="16" fontId="21" fillId="0" borderId="17" xfId="7" applyNumberFormat="1" applyFont="1" applyFill="1" applyBorder="1" applyAlignment="1">
      <alignment vertical="top" wrapText="1"/>
    </xf>
    <xf numFmtId="0" fontId="21" fillId="0" borderId="17" xfId="7" applyFont="1" applyBorder="1" applyAlignment="1">
      <alignment horizontal="left" vertical="top" wrapText="1"/>
    </xf>
    <xf numFmtId="170" fontId="24" fillId="0" borderId="38" xfId="3" applyNumberFormat="1" applyFont="1" applyBorder="1" applyAlignment="1" applyProtection="1">
      <alignment vertical="center"/>
      <protection locked="0"/>
    </xf>
    <xf numFmtId="170" fontId="24" fillId="0" borderId="39" xfId="3" applyNumberFormat="1" applyFont="1" applyBorder="1" applyAlignment="1" applyProtection="1">
      <alignment vertical="center"/>
      <protection locked="0"/>
    </xf>
    <xf numFmtId="170" fontId="24" fillId="0" borderId="40" xfId="3" applyNumberFormat="1" applyFont="1" applyBorder="1" applyAlignment="1" applyProtection="1">
      <alignment vertical="center"/>
      <protection locked="0"/>
    </xf>
    <xf numFmtId="170" fontId="24" fillId="0" borderId="18" xfId="3" applyNumberFormat="1" applyFont="1" applyBorder="1" applyAlignment="1" applyProtection="1">
      <alignment vertical="center"/>
      <protection locked="0"/>
    </xf>
    <xf numFmtId="0" fontId="24" fillId="0" borderId="38" xfId="3" applyNumberFormat="1" applyFont="1" applyBorder="1" applyAlignment="1" applyProtection="1">
      <alignment vertical="center"/>
      <protection locked="0"/>
    </xf>
    <xf numFmtId="0" fontId="24" fillId="0" borderId="39" xfId="3" applyNumberFormat="1" applyFont="1" applyBorder="1" applyAlignment="1" applyProtection="1">
      <alignment vertical="center"/>
      <protection locked="0"/>
    </xf>
    <xf numFmtId="0" fontId="24" fillId="0" borderId="40" xfId="3" applyNumberFormat="1" applyFont="1" applyBorder="1" applyAlignment="1" applyProtection="1">
      <alignment vertical="center"/>
      <protection locked="0"/>
    </xf>
    <xf numFmtId="1" fontId="24" fillId="0" borderId="38" xfId="0" applyNumberFormat="1" applyFont="1" applyBorder="1" applyAlignment="1" applyProtection="1">
      <alignment horizontal="center" vertical="center"/>
      <protection locked="0"/>
    </xf>
    <xf numFmtId="10" fontId="24" fillId="0" borderId="38" xfId="5" applyNumberFormat="1" applyFont="1" applyBorder="1" applyAlignment="1" applyProtection="1">
      <alignment vertical="center"/>
      <protection locked="0"/>
    </xf>
    <xf numFmtId="0" fontId="24" fillId="0" borderId="40" xfId="0" applyFont="1" applyBorder="1" applyAlignment="1" applyProtection="1">
      <alignment horizontal="center" vertical="center"/>
      <protection locked="0"/>
    </xf>
    <xf numFmtId="10" fontId="24" fillId="0" borderId="40" xfId="5" applyNumberFormat="1" applyFont="1" applyBorder="1" applyAlignment="1" applyProtection="1">
      <alignment vertical="center"/>
      <protection locked="0"/>
    </xf>
    <xf numFmtId="170" fontId="10" fillId="0" borderId="38" xfId="3" applyNumberFormat="1" applyFont="1" applyBorder="1" applyAlignment="1" applyProtection="1">
      <alignment vertical="center"/>
      <protection locked="0"/>
    </xf>
    <xf numFmtId="170" fontId="10" fillId="0" borderId="40" xfId="3" applyNumberFormat="1" applyFont="1" applyBorder="1" applyAlignment="1" applyProtection="1">
      <alignment vertical="center"/>
      <protection locked="0"/>
    </xf>
    <xf numFmtId="170" fontId="10" fillId="4" borderId="18" xfId="3" applyNumberFormat="1" applyFont="1" applyFill="1" applyBorder="1" applyAlignment="1" applyProtection="1">
      <alignment vertical="center"/>
      <protection locked="0"/>
    </xf>
    <xf numFmtId="0" fontId="10" fillId="3" borderId="0" xfId="0" applyFont="1" applyFill="1" applyProtection="1">
      <protection hidden="1"/>
    </xf>
    <xf numFmtId="0" fontId="10" fillId="3" borderId="0" xfId="0" applyFont="1" applyFill="1" applyAlignment="1" applyProtection="1">
      <alignment horizontal="center"/>
      <protection hidden="1"/>
    </xf>
    <xf numFmtId="0" fontId="10" fillId="0" borderId="0" xfId="0" applyFont="1" applyProtection="1">
      <protection hidden="1"/>
    </xf>
    <xf numFmtId="0" fontId="25" fillId="9" borderId="0" xfId="0" applyFont="1" applyFill="1" applyAlignment="1" applyProtection="1">
      <alignment vertical="center" wrapText="1"/>
      <protection hidden="1"/>
    </xf>
    <xf numFmtId="0" fontId="25" fillId="0" borderId="0" xfId="0" applyFont="1" applyFill="1" applyAlignment="1" applyProtection="1">
      <alignment vertical="center" wrapText="1"/>
      <protection hidden="1"/>
    </xf>
    <xf numFmtId="0" fontId="10" fillId="3" borderId="0" xfId="0" applyFont="1" applyFill="1" applyAlignment="1" applyProtection="1">
      <protection hidden="1"/>
    </xf>
    <xf numFmtId="0" fontId="10" fillId="0" borderId="0" xfId="0" applyFont="1" applyAlignment="1" applyProtection="1">
      <protection hidden="1"/>
    </xf>
    <xf numFmtId="0" fontId="25" fillId="0" borderId="0" xfId="0" applyFont="1" applyFill="1" applyAlignment="1" applyProtection="1">
      <alignment wrapText="1"/>
      <protection hidden="1"/>
    </xf>
    <xf numFmtId="0" fontId="10" fillId="3" borderId="0" xfId="0" applyFont="1" applyFill="1" applyAlignment="1" applyProtection="1">
      <alignment vertical="center"/>
      <protection hidden="1"/>
    </xf>
    <xf numFmtId="0" fontId="10" fillId="0" borderId="0" xfId="0" applyFont="1" applyAlignment="1" applyProtection="1">
      <alignment vertical="center"/>
      <protection hidden="1"/>
    </xf>
    <xf numFmtId="0" fontId="24" fillId="0" borderId="0" xfId="0" applyFont="1" applyAlignment="1" applyProtection="1">
      <alignment vertical="center"/>
      <protection hidden="1"/>
    </xf>
    <xf numFmtId="0" fontId="10" fillId="0" borderId="0" xfId="0" applyFont="1" applyBorder="1" applyAlignment="1" applyProtection="1">
      <alignment horizontal="center"/>
      <protection hidden="1"/>
    </xf>
    <xf numFmtId="0" fontId="24" fillId="0" borderId="0" xfId="0" applyFont="1" applyBorder="1" applyAlignment="1" applyProtection="1">
      <alignment horizontal="left" vertical="center"/>
      <protection hidden="1"/>
    </xf>
    <xf numFmtId="0" fontId="10" fillId="0" borderId="0" xfId="0" applyFont="1" applyBorder="1" applyAlignment="1" applyProtection="1">
      <alignment horizontal="left" vertical="center"/>
      <protection hidden="1"/>
    </xf>
    <xf numFmtId="0" fontId="10" fillId="0" borderId="0" xfId="0" applyFont="1" applyBorder="1" applyAlignment="1" applyProtection="1">
      <alignment vertical="center"/>
      <protection hidden="1"/>
    </xf>
    <xf numFmtId="0" fontId="10" fillId="0" borderId="0" xfId="0" applyFont="1" applyBorder="1" applyAlignment="1" applyProtection="1">
      <alignment horizontal="center" vertical="center"/>
      <protection hidden="1"/>
    </xf>
    <xf numFmtId="0" fontId="29" fillId="10" borderId="0" xfId="0" applyFont="1" applyFill="1" applyBorder="1" applyAlignment="1" applyProtection="1">
      <alignment vertical="center"/>
      <protection hidden="1"/>
    </xf>
    <xf numFmtId="0" fontId="30" fillId="10" borderId="0" xfId="0" applyFont="1" applyFill="1" applyBorder="1" applyAlignment="1" applyProtection="1">
      <alignment vertical="center"/>
      <protection hidden="1"/>
    </xf>
    <xf numFmtId="0" fontId="29" fillId="10" borderId="0" xfId="0" applyFont="1" applyFill="1" applyBorder="1" applyAlignment="1" applyProtection="1">
      <alignment horizontal="center" vertical="center"/>
      <protection hidden="1"/>
    </xf>
    <xf numFmtId="0" fontId="29" fillId="10" borderId="0" xfId="0" applyFont="1" applyFill="1" applyBorder="1" applyAlignment="1" applyProtection="1">
      <alignment horizontal="left" vertical="center"/>
      <protection hidden="1"/>
    </xf>
    <xf numFmtId="0" fontId="10" fillId="10" borderId="0" xfId="0"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6" fillId="0" borderId="0" xfId="0" applyFont="1" applyFill="1" applyBorder="1" applyAlignment="1" applyProtection="1">
      <alignment horizontal="center" vertical="center"/>
      <protection hidden="1"/>
    </xf>
    <xf numFmtId="0" fontId="26" fillId="0" borderId="0" xfId="0" applyFont="1" applyFill="1" applyBorder="1" applyAlignment="1" applyProtection="1">
      <alignment horizontal="left" vertical="center"/>
      <protection hidden="1"/>
    </xf>
    <xf numFmtId="0" fontId="29" fillId="0" borderId="23" xfId="0" applyFont="1" applyBorder="1" applyAlignment="1" applyProtection="1">
      <alignment vertical="center"/>
      <protection hidden="1"/>
    </xf>
    <xf numFmtId="0" fontId="10" fillId="0" borderId="24" xfId="0" applyFont="1" applyBorder="1" applyAlignment="1" applyProtection="1">
      <alignment vertical="center"/>
      <protection hidden="1"/>
    </xf>
    <xf numFmtId="0" fontId="10" fillId="0" borderId="24" xfId="0" applyFont="1" applyBorder="1" applyAlignment="1" applyProtection="1">
      <alignment horizontal="center" vertical="center"/>
      <protection hidden="1"/>
    </xf>
    <xf numFmtId="0" fontId="10" fillId="0" borderId="25" xfId="0" applyFont="1" applyBorder="1" applyAlignment="1" applyProtection="1">
      <alignment vertical="center"/>
      <protection hidden="1"/>
    </xf>
    <xf numFmtId="0" fontId="24" fillId="0" borderId="26" xfId="0" applyFont="1" applyBorder="1" applyAlignment="1" applyProtection="1">
      <alignment vertical="center"/>
      <protection hidden="1"/>
    </xf>
    <xf numFmtId="0" fontId="24" fillId="0" borderId="0" xfId="0" applyFont="1" applyBorder="1" applyAlignment="1" applyProtection="1">
      <alignment vertical="center"/>
      <protection hidden="1"/>
    </xf>
    <xf numFmtId="170" fontId="24" fillId="10" borderId="0" xfId="3" applyNumberFormat="1" applyFont="1" applyFill="1" applyBorder="1" applyAlignment="1" applyProtection="1">
      <alignment vertical="center"/>
      <protection hidden="1"/>
    </xf>
    <xf numFmtId="0" fontId="10" fillId="0" borderId="27" xfId="0" applyFont="1" applyBorder="1" applyAlignment="1" applyProtection="1">
      <alignment vertical="center"/>
      <protection hidden="1"/>
    </xf>
    <xf numFmtId="0" fontId="10" fillId="0" borderId="26" xfId="0" applyFont="1" applyBorder="1" applyAlignment="1" applyProtection="1">
      <alignment vertical="center"/>
      <protection hidden="1"/>
    </xf>
    <xf numFmtId="0" fontId="27" fillId="3" borderId="0" xfId="0" applyFont="1" applyFill="1" applyAlignment="1" applyProtection="1">
      <alignment vertical="center"/>
      <protection hidden="1"/>
    </xf>
    <xf numFmtId="170" fontId="10" fillId="0" borderId="0" xfId="3" applyNumberFormat="1" applyFont="1" applyBorder="1" applyAlignment="1" applyProtection="1">
      <alignment vertical="center"/>
      <protection hidden="1"/>
    </xf>
    <xf numFmtId="0" fontId="23" fillId="0" borderId="0" xfId="0" applyFont="1" applyBorder="1" applyAlignment="1" applyProtection="1">
      <alignment vertical="center"/>
      <protection hidden="1"/>
    </xf>
    <xf numFmtId="0" fontId="29" fillId="0" borderId="26" xfId="0" applyFont="1" applyBorder="1" applyAlignment="1" applyProtection="1">
      <alignment vertical="center"/>
      <protection hidden="1"/>
    </xf>
    <xf numFmtId="170" fontId="10" fillId="0" borderId="27" xfId="3" applyNumberFormat="1" applyFont="1" applyBorder="1" applyAlignment="1" applyProtection="1">
      <alignment vertical="center"/>
      <protection hidden="1"/>
    </xf>
    <xf numFmtId="0" fontId="34" fillId="0" borderId="26" xfId="0" applyFont="1" applyBorder="1" applyAlignment="1" applyProtection="1">
      <alignment vertical="center"/>
      <protection hidden="1"/>
    </xf>
    <xf numFmtId="170" fontId="10" fillId="0" borderId="27" xfId="3" applyNumberFormat="1" applyFont="1" applyFill="1" applyBorder="1" applyAlignment="1" applyProtection="1">
      <alignment vertical="center"/>
      <protection hidden="1"/>
    </xf>
    <xf numFmtId="0" fontId="24" fillId="0" borderId="0" xfId="0" applyFont="1" applyBorder="1" applyAlignment="1" applyProtection="1">
      <alignment vertical="center" wrapText="1"/>
      <protection hidden="1"/>
    </xf>
    <xf numFmtId="170" fontId="10" fillId="3" borderId="0" xfId="0" applyNumberFormat="1" applyFont="1" applyFill="1" applyAlignment="1" applyProtection="1">
      <alignment vertical="center"/>
      <protection hidden="1"/>
    </xf>
    <xf numFmtId="0" fontId="38" fillId="12" borderId="26" xfId="0" applyFont="1" applyFill="1" applyBorder="1" applyAlignment="1" applyProtection="1">
      <alignment vertical="center"/>
      <protection hidden="1"/>
    </xf>
    <xf numFmtId="0" fontId="10" fillId="12" borderId="0" xfId="0" applyFont="1" applyFill="1" applyBorder="1" applyAlignment="1" applyProtection="1">
      <alignment vertical="center"/>
      <protection hidden="1"/>
    </xf>
    <xf numFmtId="0" fontId="10" fillId="12" borderId="0" xfId="0" applyFont="1" applyFill="1" applyBorder="1" applyAlignment="1" applyProtection="1">
      <alignment horizontal="center" vertical="center"/>
      <protection hidden="1"/>
    </xf>
    <xf numFmtId="170" fontId="24" fillId="13" borderId="0" xfId="3" applyNumberFormat="1" applyFont="1" applyFill="1" applyBorder="1" applyAlignment="1" applyProtection="1">
      <alignment vertical="center"/>
      <protection hidden="1"/>
    </xf>
    <xf numFmtId="0" fontId="10" fillId="12" borderId="27" xfId="0" applyFont="1" applyFill="1" applyBorder="1" applyAlignment="1" applyProtection="1">
      <alignment vertical="center"/>
      <protection hidden="1"/>
    </xf>
    <xf numFmtId="44" fontId="10" fillId="3" borderId="0" xfId="0" applyNumberFormat="1" applyFont="1" applyFill="1" applyAlignment="1" applyProtection="1">
      <alignment vertical="center"/>
      <protection hidden="1"/>
    </xf>
    <xf numFmtId="0" fontId="10" fillId="0" borderId="28" xfId="0" applyFont="1" applyBorder="1" applyAlignment="1" applyProtection="1">
      <alignment vertical="center"/>
      <protection hidden="1"/>
    </xf>
    <xf numFmtId="0" fontId="10" fillId="0" borderId="29" xfId="0" applyFont="1" applyBorder="1" applyAlignment="1" applyProtection="1">
      <alignment vertical="center"/>
      <protection hidden="1"/>
    </xf>
    <xf numFmtId="0" fontId="10" fillId="0" borderId="29" xfId="0" applyFont="1" applyBorder="1" applyAlignment="1" applyProtection="1">
      <alignment horizontal="center" vertical="center"/>
      <protection hidden="1"/>
    </xf>
    <xf numFmtId="0" fontId="10" fillId="0" borderId="30" xfId="0" applyFont="1" applyBorder="1" applyAlignment="1" applyProtection="1">
      <alignment vertical="center"/>
      <protection hidden="1"/>
    </xf>
    <xf numFmtId="0" fontId="10" fillId="0" borderId="26" xfId="0" applyFont="1" applyBorder="1" applyAlignment="1" applyProtection="1">
      <alignment horizontal="center" vertical="center"/>
      <protection hidden="1"/>
    </xf>
    <xf numFmtId="0" fontId="10" fillId="10" borderId="27" xfId="0" applyFont="1" applyFill="1" applyBorder="1" applyAlignment="1" applyProtection="1">
      <alignment vertical="center"/>
      <protection hidden="1"/>
    </xf>
    <xf numFmtId="0" fontId="25" fillId="9" borderId="0" xfId="0" applyFont="1" applyFill="1" applyBorder="1" applyAlignment="1" applyProtection="1">
      <alignment vertical="center" wrapText="1"/>
      <protection hidden="1"/>
    </xf>
    <xf numFmtId="0" fontId="29" fillId="0" borderId="31" xfId="0" applyFont="1" applyBorder="1" applyAlignment="1" applyProtection="1">
      <alignment vertical="center"/>
      <protection hidden="1"/>
    </xf>
    <xf numFmtId="0" fontId="10" fillId="0" borderId="32" xfId="0" applyFont="1" applyBorder="1" applyAlignment="1" applyProtection="1">
      <alignment vertical="center"/>
      <protection hidden="1"/>
    </xf>
    <xf numFmtId="0" fontId="10" fillId="0" borderId="32" xfId="0" applyFont="1" applyBorder="1" applyAlignment="1" applyProtection="1">
      <alignment horizontal="center" vertical="center"/>
      <protection hidden="1"/>
    </xf>
    <xf numFmtId="0" fontId="10" fillId="0" borderId="33" xfId="0" applyFont="1" applyBorder="1" applyAlignment="1" applyProtection="1">
      <alignment vertical="center"/>
      <protection hidden="1"/>
    </xf>
    <xf numFmtId="0" fontId="24" fillId="0" borderId="22" xfId="0" applyFont="1" applyBorder="1" applyAlignment="1" applyProtection="1">
      <alignment vertical="center"/>
      <protection hidden="1"/>
    </xf>
    <xf numFmtId="0" fontId="10" fillId="0" borderId="34" xfId="0" applyFont="1" applyBorder="1" applyAlignment="1" applyProtection="1">
      <alignment vertical="center"/>
      <protection hidden="1"/>
    </xf>
    <xf numFmtId="0" fontId="29" fillId="0" borderId="22" xfId="0" applyFont="1" applyBorder="1" applyAlignment="1" applyProtection="1">
      <alignment vertical="center"/>
      <protection hidden="1"/>
    </xf>
    <xf numFmtId="0" fontId="10" fillId="0" borderId="22" xfId="0" applyFont="1" applyBorder="1" applyAlignment="1" applyProtection="1">
      <alignment vertical="center"/>
      <protection hidden="1"/>
    </xf>
    <xf numFmtId="0" fontId="10" fillId="0" borderId="0" xfId="3" applyNumberFormat="1" applyFont="1" applyBorder="1" applyAlignment="1" applyProtection="1">
      <alignment vertical="center"/>
      <protection hidden="1"/>
    </xf>
    <xf numFmtId="170" fontId="10" fillId="0" borderId="0" xfId="3" applyNumberFormat="1" applyFont="1" applyFill="1" applyBorder="1" applyAlignment="1" applyProtection="1">
      <alignment vertical="center"/>
      <protection hidden="1"/>
    </xf>
    <xf numFmtId="0" fontId="10" fillId="12" borderId="34" xfId="0" applyFont="1" applyFill="1" applyBorder="1" applyAlignment="1" applyProtection="1">
      <alignment vertical="center"/>
      <protection hidden="1"/>
    </xf>
    <xf numFmtId="0" fontId="10" fillId="0" borderId="35" xfId="0" applyFont="1" applyBorder="1" applyAlignment="1" applyProtection="1">
      <alignment vertical="center"/>
      <protection hidden="1"/>
    </xf>
    <xf numFmtId="0" fontId="10" fillId="0" borderId="36" xfId="0" applyFont="1" applyBorder="1" applyAlignment="1" applyProtection="1">
      <alignment vertical="center"/>
      <protection hidden="1"/>
    </xf>
    <xf numFmtId="0" fontId="10" fillId="0" borderId="36" xfId="3" applyNumberFormat="1" applyFont="1" applyBorder="1" applyAlignment="1" applyProtection="1">
      <alignment vertical="center"/>
      <protection hidden="1"/>
    </xf>
    <xf numFmtId="0" fontId="10" fillId="0" borderId="36" xfId="0" applyFont="1" applyBorder="1" applyAlignment="1" applyProtection="1">
      <alignment horizontal="center" vertical="center"/>
      <protection hidden="1"/>
    </xf>
    <xf numFmtId="170" fontId="10" fillId="0" borderId="36" xfId="3" applyNumberFormat="1" applyFont="1" applyFill="1" applyBorder="1" applyAlignment="1" applyProtection="1">
      <alignment vertical="center"/>
      <protection hidden="1"/>
    </xf>
    <xf numFmtId="0" fontId="10" fillId="0" borderId="41" xfId="0" applyFont="1" applyBorder="1" applyAlignment="1" applyProtection="1">
      <alignment vertical="center"/>
      <protection hidden="1"/>
    </xf>
    <xf numFmtId="0" fontId="38" fillId="12" borderId="0" xfId="0" applyFont="1" applyFill="1" applyBorder="1" applyAlignment="1" applyProtection="1">
      <alignment vertical="center"/>
      <protection hidden="1"/>
    </xf>
    <xf numFmtId="0" fontId="31" fillId="12" borderId="0" xfId="0" applyFont="1" applyFill="1" applyBorder="1" applyAlignment="1" applyProtection="1">
      <alignment vertical="center"/>
      <protection hidden="1"/>
    </xf>
    <xf numFmtId="0" fontId="31" fillId="12" borderId="0" xfId="0" applyFont="1" applyFill="1" applyBorder="1" applyAlignment="1" applyProtection="1">
      <alignment horizontal="center" vertical="center"/>
      <protection hidden="1"/>
    </xf>
    <xf numFmtId="170" fontId="30" fillId="13" borderId="0" xfId="3" applyNumberFormat="1" applyFont="1" applyFill="1" applyBorder="1" applyAlignment="1" applyProtection="1">
      <alignment vertical="center"/>
      <protection hidden="1"/>
    </xf>
    <xf numFmtId="0" fontId="24" fillId="0" borderId="31" xfId="0" applyFont="1" applyBorder="1" applyAlignment="1" applyProtection="1">
      <alignment vertical="center"/>
      <protection hidden="1"/>
    </xf>
    <xf numFmtId="0" fontId="28" fillId="0" borderId="32" xfId="0" applyFont="1" applyBorder="1" applyAlignment="1" applyProtection="1">
      <alignment horizontal="center" vertical="center" wrapText="1"/>
      <protection hidden="1"/>
    </xf>
    <xf numFmtId="8" fontId="10" fillId="3" borderId="0" xfId="0" applyNumberFormat="1" applyFont="1" applyFill="1" applyAlignment="1" applyProtection="1">
      <alignment vertical="center"/>
      <protection hidden="1"/>
    </xf>
    <xf numFmtId="0" fontId="28" fillId="0" borderId="0" xfId="0" applyFont="1" applyBorder="1" applyAlignment="1" applyProtection="1">
      <alignment horizontal="center" vertical="center" wrapText="1"/>
      <protection hidden="1"/>
    </xf>
    <xf numFmtId="10" fontId="10" fillId="0" borderId="0" xfId="5" applyNumberFormat="1" applyFont="1" applyBorder="1" applyAlignment="1" applyProtection="1">
      <alignment vertical="center"/>
      <protection hidden="1"/>
    </xf>
    <xf numFmtId="166" fontId="10" fillId="3" borderId="0" xfId="1" applyNumberFormat="1" applyFont="1" applyFill="1" applyAlignment="1" applyProtection="1">
      <alignment vertical="center"/>
      <protection hidden="1"/>
    </xf>
    <xf numFmtId="169" fontId="10" fillId="3" borderId="0" xfId="5" applyNumberFormat="1" applyFont="1" applyFill="1" applyAlignment="1" applyProtection="1">
      <alignment vertical="center"/>
      <protection hidden="1"/>
    </xf>
    <xf numFmtId="0" fontId="34" fillId="0" borderId="22" xfId="0" applyFont="1" applyBorder="1" applyAlignment="1" applyProtection="1">
      <alignment vertical="center"/>
      <protection hidden="1"/>
    </xf>
    <xf numFmtId="0" fontId="12" fillId="0" borderId="22" xfId="0" applyFont="1" applyBorder="1" applyAlignment="1" applyProtection="1">
      <alignment vertical="center"/>
      <protection hidden="1"/>
    </xf>
    <xf numFmtId="0" fontId="28" fillId="0" borderId="0" xfId="0" applyFont="1" applyBorder="1" applyAlignment="1" applyProtection="1">
      <alignment horizontal="center" vertical="center"/>
      <protection hidden="1"/>
    </xf>
    <xf numFmtId="0" fontId="32" fillId="0" borderId="0" xfId="0" applyFont="1" applyBorder="1" applyAlignment="1" applyProtection="1">
      <alignment horizontal="left" vertical="center"/>
      <protection hidden="1"/>
    </xf>
    <xf numFmtId="0" fontId="10" fillId="0" borderId="0" xfId="0" quotePrefix="1" applyFont="1" applyBorder="1" applyAlignment="1" applyProtection="1">
      <alignment horizontal="center" vertical="center"/>
      <protection hidden="1"/>
    </xf>
    <xf numFmtId="0" fontId="1" fillId="0" borderId="0" xfId="0" applyFont="1" applyBorder="1" applyAlignment="1" applyProtection="1">
      <alignment vertical="center"/>
      <protection hidden="1"/>
    </xf>
    <xf numFmtId="0" fontId="10" fillId="0" borderId="37" xfId="0" applyFont="1" applyBorder="1" applyAlignment="1" applyProtection="1">
      <alignment vertical="center"/>
      <protection hidden="1"/>
    </xf>
    <xf numFmtId="43" fontId="10" fillId="3" borderId="0" xfId="0" applyNumberFormat="1" applyFont="1" applyFill="1" applyAlignment="1" applyProtection="1">
      <alignment vertical="center"/>
      <protection hidden="1"/>
    </xf>
    <xf numFmtId="0" fontId="37" fillId="0" borderId="0" xfId="0" applyFont="1" applyAlignment="1" applyProtection="1">
      <alignment horizontal="left" vertical="center" wrapText="1"/>
      <protection hidden="1"/>
    </xf>
    <xf numFmtId="0" fontId="10" fillId="0" borderId="0" xfId="0" applyFont="1" applyAlignment="1" applyProtection="1">
      <alignment vertical="center" wrapText="1"/>
      <protection hidden="1"/>
    </xf>
    <xf numFmtId="0" fontId="1" fillId="0" borderId="0" xfId="0" applyFont="1" applyAlignment="1" applyProtection="1">
      <alignment vertical="center" wrapText="1"/>
      <protection hidden="1"/>
    </xf>
    <xf numFmtId="0" fontId="12" fillId="0" borderId="0" xfId="0" applyFont="1" applyBorder="1" applyAlignment="1" applyProtection="1">
      <alignment vertical="center" wrapText="1"/>
      <protection hidden="1"/>
    </xf>
    <xf numFmtId="165" fontId="10" fillId="3" borderId="0" xfId="0" applyNumberFormat="1" applyFont="1" applyFill="1" applyAlignment="1" applyProtection="1">
      <alignment vertical="center"/>
      <protection hidden="1"/>
    </xf>
    <xf numFmtId="0" fontId="10" fillId="0" borderId="0" xfId="0" applyFont="1" applyAlignment="1" applyProtection="1">
      <alignment horizontal="center" vertical="center"/>
      <protection hidden="1"/>
    </xf>
    <xf numFmtId="0" fontId="40" fillId="0" borderId="0" xfId="0" applyFont="1" applyAlignment="1" applyProtection="1">
      <alignment vertical="center" wrapText="1"/>
      <protection hidden="1"/>
    </xf>
    <xf numFmtId="17" fontId="3" fillId="4" borderId="0" xfId="0" applyNumberFormat="1" applyFont="1" applyFill="1" applyAlignment="1" applyProtection="1">
      <alignment horizontal="right" vertical="center"/>
      <protection hidden="1"/>
    </xf>
    <xf numFmtId="0" fontId="1" fillId="3" borderId="0" xfId="0" applyFont="1" applyFill="1" applyProtection="1">
      <protection hidden="1"/>
    </xf>
    <xf numFmtId="0" fontId="10" fillId="0" borderId="0" xfId="0" applyFont="1" applyAlignment="1" applyProtection="1">
      <alignment horizontal="center"/>
      <protection hidden="1"/>
    </xf>
    <xf numFmtId="0" fontId="10" fillId="0" borderId="19" xfId="0" applyFont="1" applyBorder="1" applyAlignment="1" applyProtection="1">
      <alignment horizontal="left" vertical="center"/>
      <protection locked="0"/>
    </xf>
    <xf numFmtId="0" fontId="0" fillId="0" borderId="42" xfId="0"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44" fillId="0" borderId="43" xfId="0" applyFont="1" applyBorder="1" applyAlignment="1">
      <alignment horizontal="center"/>
    </xf>
    <xf numFmtId="0" fontId="44" fillId="0" borderId="44" xfId="0" applyFont="1" applyBorder="1" applyAlignment="1">
      <alignment horizontal="center"/>
    </xf>
    <xf numFmtId="0" fontId="0" fillId="0" borderId="44" xfId="0" applyBorder="1" applyAlignment="1">
      <alignment horizontal="center"/>
    </xf>
    <xf numFmtId="0" fontId="45" fillId="0" borderId="44" xfId="0" applyFont="1" applyBorder="1" applyAlignment="1">
      <alignment horizontal="center"/>
    </xf>
    <xf numFmtId="0" fontId="0" fillId="0" borderId="43" xfId="0" applyBorder="1" applyAlignment="1">
      <alignment horizontal="center"/>
    </xf>
    <xf numFmtId="6" fontId="0" fillId="0" borderId="44" xfId="0" applyNumberFormat="1" applyBorder="1" applyAlignment="1">
      <alignment horizontal="center"/>
    </xf>
    <xf numFmtId="6" fontId="0" fillId="0" borderId="45" xfId="0" applyNumberFormat="1" applyBorder="1" applyAlignment="1">
      <alignment horizontal="center"/>
    </xf>
    <xf numFmtId="0" fontId="0" fillId="0" borderId="0" xfId="0" quotePrefix="1"/>
    <xf numFmtId="6" fontId="0" fillId="14" borderId="46" xfId="0" applyNumberFormat="1" applyFont="1" applyFill="1" applyBorder="1" applyAlignment="1">
      <alignment horizontal="center"/>
    </xf>
    <xf numFmtId="6" fontId="0" fillId="15" borderId="46" xfId="0" applyNumberFormat="1" applyFont="1" applyFill="1" applyBorder="1" applyAlignment="1">
      <alignment horizontal="center"/>
    </xf>
    <xf numFmtId="170" fontId="24" fillId="16" borderId="0" xfId="3" applyNumberFormat="1" applyFont="1" applyFill="1" applyBorder="1" applyAlignment="1" applyProtection="1">
      <alignment vertical="center"/>
      <protection hidden="1"/>
    </xf>
    <xf numFmtId="0" fontId="10" fillId="0" borderId="20" xfId="0" applyFont="1" applyBorder="1" applyAlignment="1" applyProtection="1">
      <alignment vertical="center"/>
      <protection locked="0"/>
    </xf>
    <xf numFmtId="0" fontId="10" fillId="0" borderId="21" xfId="0" applyFont="1" applyBorder="1" applyAlignment="1" applyProtection="1">
      <alignment vertical="center"/>
      <protection locked="0"/>
    </xf>
    <xf numFmtId="170" fontId="10" fillId="0" borderId="32" xfId="3" applyNumberFormat="1" applyFont="1" applyBorder="1" applyAlignment="1" applyProtection="1">
      <alignment vertical="center"/>
      <protection locked="0"/>
    </xf>
    <xf numFmtId="170" fontId="10" fillId="0" borderId="0" xfId="3" applyNumberFormat="1" applyFont="1" applyBorder="1" applyAlignment="1" applyProtection="1">
      <alignment vertical="center"/>
      <protection locked="0"/>
    </xf>
    <xf numFmtId="170" fontId="10" fillId="0" borderId="37" xfId="3" applyNumberFormat="1" applyFont="1" applyBorder="1" applyAlignment="1" applyProtection="1">
      <alignment vertical="center"/>
      <protection locked="0"/>
    </xf>
    <xf numFmtId="0" fontId="24" fillId="0" borderId="47" xfId="0" applyFont="1" applyBorder="1" applyAlignment="1" applyProtection="1">
      <alignment vertical="center"/>
      <protection hidden="1"/>
    </xf>
    <xf numFmtId="170" fontId="10" fillId="0" borderId="48" xfId="3" applyNumberFormat="1" applyFont="1" applyBorder="1" applyAlignment="1" applyProtection="1">
      <alignment vertical="center"/>
      <protection locked="0"/>
    </xf>
    <xf numFmtId="170" fontId="10" fillId="0" borderId="49" xfId="3" applyNumberFormat="1" applyFont="1" applyBorder="1" applyAlignment="1" applyProtection="1">
      <alignment vertical="center"/>
      <protection locked="0"/>
    </xf>
    <xf numFmtId="170" fontId="24" fillId="0" borderId="33" xfId="3" applyNumberFormat="1" applyFont="1" applyBorder="1" applyAlignment="1" applyProtection="1">
      <alignment horizontal="left" vertical="center"/>
      <protection locked="0"/>
    </xf>
    <xf numFmtId="170" fontId="24" fillId="0" borderId="34" xfId="3" applyNumberFormat="1" applyFont="1" applyBorder="1" applyAlignment="1" applyProtection="1">
      <alignment vertical="center"/>
      <protection locked="0"/>
    </xf>
    <xf numFmtId="170" fontId="24" fillId="0" borderId="37" xfId="3" applyNumberFormat="1" applyFont="1" applyBorder="1" applyAlignment="1" applyProtection="1">
      <alignment vertical="center"/>
      <protection locked="0"/>
    </xf>
    <xf numFmtId="0" fontId="32" fillId="0" borderId="24" xfId="0" applyFont="1" applyBorder="1" applyAlignment="1" applyProtection="1">
      <alignment vertical="center"/>
      <protection hidden="1"/>
    </xf>
    <xf numFmtId="170" fontId="10" fillId="0" borderId="22" xfId="3" applyNumberFormat="1" applyFont="1" applyBorder="1" applyAlignment="1" applyProtection="1">
      <alignment vertical="center"/>
      <protection locked="0"/>
    </xf>
    <xf numFmtId="0" fontId="32" fillId="0" borderId="0" xfId="0" applyFont="1" applyBorder="1" applyAlignment="1" applyProtection="1">
      <alignment vertical="center"/>
      <protection hidden="1"/>
    </xf>
    <xf numFmtId="0" fontId="10" fillId="0" borderId="53" xfId="0" applyFont="1" applyBorder="1" applyAlignment="1" applyProtection="1">
      <alignment vertical="center"/>
      <protection hidden="1"/>
    </xf>
    <xf numFmtId="0" fontId="32" fillId="0" borderId="36" xfId="0" applyFont="1" applyBorder="1" applyAlignment="1" applyProtection="1">
      <alignment vertical="center"/>
      <protection hidden="1"/>
    </xf>
    <xf numFmtId="0" fontId="47" fillId="0" borderId="50" xfId="0" applyFont="1" applyBorder="1" applyAlignment="1" applyProtection="1">
      <alignment vertical="center"/>
      <protection locked="0"/>
    </xf>
    <xf numFmtId="0" fontId="47" fillId="0" borderId="52" xfId="0" applyFont="1" applyBorder="1" applyAlignment="1" applyProtection="1">
      <alignment vertical="center"/>
      <protection locked="0"/>
    </xf>
    <xf numFmtId="0" fontId="47" fillId="0" borderId="51" xfId="0" applyFont="1" applyBorder="1" applyAlignment="1" applyProtection="1">
      <alignment vertical="center"/>
      <protection locked="0"/>
    </xf>
    <xf numFmtId="0" fontId="24" fillId="0" borderId="38" xfId="0" applyFont="1" applyBorder="1" applyAlignment="1" applyProtection="1">
      <alignment vertical="center"/>
      <protection locked="0"/>
    </xf>
    <xf numFmtId="0" fontId="24" fillId="0" borderId="39" xfId="0" applyFont="1" applyBorder="1" applyAlignment="1" applyProtection="1">
      <alignment vertical="center"/>
      <protection locked="0"/>
    </xf>
    <xf numFmtId="0" fontId="49" fillId="0" borderId="0" xfId="0" applyFont="1" applyBorder="1" applyAlignment="1" applyProtection="1">
      <alignment horizontal="center" vertical="center"/>
      <protection hidden="1"/>
    </xf>
    <xf numFmtId="0" fontId="49" fillId="0" borderId="0" xfId="0" applyFont="1" applyBorder="1" applyAlignment="1" applyProtection="1">
      <alignment horizontal="center" vertical="center" wrapText="1"/>
      <protection hidden="1"/>
    </xf>
    <xf numFmtId="0" fontId="50" fillId="0" borderId="0" xfId="0" quotePrefix="1" applyFont="1" applyBorder="1" applyAlignment="1" applyProtection="1">
      <alignment horizontal="center" vertical="center"/>
      <protection hidden="1"/>
    </xf>
    <xf numFmtId="0" fontId="10" fillId="0" borderId="31" xfId="0" applyFont="1" applyBorder="1" applyAlignment="1" applyProtection="1">
      <alignment vertical="center"/>
      <protection locked="0"/>
    </xf>
    <xf numFmtId="0" fontId="10" fillId="0" borderId="32" xfId="0" applyFont="1" applyBorder="1" applyAlignment="1" applyProtection="1">
      <alignment vertical="center"/>
      <protection locked="0"/>
    </xf>
    <xf numFmtId="0" fontId="10" fillId="0" borderId="33" xfId="0" applyFont="1" applyBorder="1" applyAlignment="1" applyProtection="1">
      <alignment vertical="center"/>
      <protection locked="0"/>
    </xf>
    <xf numFmtId="0" fontId="10" fillId="0" borderId="22"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10" fillId="0" borderId="34" xfId="0" applyFont="1" applyBorder="1" applyAlignment="1" applyProtection="1">
      <alignment vertical="center"/>
      <protection locked="0"/>
    </xf>
    <xf numFmtId="0" fontId="10" fillId="0" borderId="35" xfId="0" applyFont="1" applyBorder="1" applyAlignment="1" applyProtection="1">
      <alignment vertical="center"/>
      <protection locked="0"/>
    </xf>
    <xf numFmtId="0" fontId="10" fillId="0" borderId="36" xfId="0" applyFont="1" applyBorder="1" applyAlignment="1" applyProtection="1">
      <alignment vertical="center"/>
      <protection locked="0"/>
    </xf>
    <xf numFmtId="0" fontId="10" fillId="0" borderId="37" xfId="0" applyFont="1" applyBorder="1" applyAlignment="1" applyProtection="1">
      <alignment vertical="center"/>
      <protection locked="0"/>
    </xf>
    <xf numFmtId="0" fontId="0" fillId="0" borderId="0" xfId="0" applyBorder="1" applyAlignment="1">
      <alignment horizontal="center"/>
    </xf>
    <xf numFmtId="6" fontId="0" fillId="0" borderId="0" xfId="0" applyNumberFormat="1" applyBorder="1" applyAlignment="1">
      <alignment horizontal="center"/>
    </xf>
    <xf numFmtId="6" fontId="44" fillId="0" borderId="44" xfId="0" applyNumberFormat="1" applyFont="1" applyBorder="1" applyAlignment="1">
      <alignment horizontal="center"/>
    </xf>
    <xf numFmtId="6" fontId="45" fillId="0" borderId="44" xfId="0" applyNumberFormat="1" applyFont="1" applyBorder="1" applyAlignment="1">
      <alignment horizontal="center"/>
    </xf>
    <xf numFmtId="0" fontId="44" fillId="0" borderId="54" xfId="0" applyFont="1" applyBorder="1" applyAlignment="1">
      <alignment horizontal="center"/>
    </xf>
    <xf numFmtId="6" fontId="44" fillId="0" borderId="45" xfId="0" applyNumberFormat="1" applyFont="1" applyBorder="1" applyAlignment="1">
      <alignment horizontal="center"/>
    </xf>
    <xf numFmtId="6" fontId="44" fillId="14" borderId="46" xfId="0" applyNumberFormat="1" applyFont="1" applyFill="1" applyBorder="1" applyAlignment="1">
      <alignment horizontal="center"/>
    </xf>
    <xf numFmtId="6" fontId="44" fillId="15" borderId="46" xfId="0" applyNumberFormat="1" applyFont="1" applyFill="1" applyBorder="1" applyAlignment="1">
      <alignment horizontal="center"/>
    </xf>
    <xf numFmtId="0" fontId="1" fillId="0" borderId="0" xfId="0" applyFont="1" applyBorder="1" applyAlignment="1">
      <alignment horizontal="center"/>
    </xf>
    <xf numFmtId="0" fontId="0" fillId="17" borderId="17" xfId="0" applyFill="1" applyBorder="1" applyAlignment="1">
      <alignment horizontal="center"/>
    </xf>
    <xf numFmtId="0" fontId="0" fillId="17" borderId="0" xfId="0" applyFill="1" applyBorder="1" applyAlignment="1">
      <alignment horizontal="center"/>
    </xf>
    <xf numFmtId="6" fontId="0" fillId="15" borderId="0" xfId="0" applyNumberFormat="1" applyFont="1" applyFill="1" applyBorder="1" applyAlignment="1">
      <alignment horizontal="center"/>
    </xf>
    <xf numFmtId="6" fontId="51" fillId="15" borderId="46" xfId="0" applyNumberFormat="1" applyFont="1" applyFill="1" applyBorder="1" applyAlignment="1">
      <alignment horizontal="center"/>
    </xf>
    <xf numFmtId="6" fontId="52" fillId="14" borderId="46" xfId="0" applyNumberFormat="1" applyFont="1" applyFill="1" applyBorder="1" applyAlignment="1">
      <alignment horizontal="center"/>
    </xf>
    <xf numFmtId="6" fontId="52" fillId="15" borderId="46" xfId="0" applyNumberFormat="1" applyFont="1" applyFill="1" applyBorder="1" applyAlignment="1">
      <alignment horizontal="center"/>
    </xf>
    <xf numFmtId="6" fontId="51" fillId="14" borderId="46" xfId="0" applyNumberFormat="1" applyFont="1" applyFill="1" applyBorder="1" applyAlignment="1">
      <alignment horizontal="center"/>
    </xf>
    <xf numFmtId="0" fontId="53" fillId="16" borderId="0" xfId="0" applyFont="1" applyFill="1" applyBorder="1" applyAlignment="1" applyProtection="1">
      <alignment vertical="center"/>
      <protection hidden="1"/>
    </xf>
    <xf numFmtId="0" fontId="54" fillId="16" borderId="0" xfId="0" applyFont="1" applyFill="1" applyBorder="1" applyAlignment="1" applyProtection="1">
      <alignment vertical="center"/>
      <protection hidden="1"/>
    </xf>
    <xf numFmtId="43" fontId="54" fillId="16" borderId="0" xfId="1" applyNumberFormat="1" applyFont="1" applyFill="1" applyBorder="1" applyAlignment="1" applyProtection="1">
      <alignment vertical="center"/>
      <protection hidden="1"/>
    </xf>
    <xf numFmtId="0" fontId="11" fillId="0" borderId="44" xfId="7" applyFont="1" applyBorder="1" applyAlignment="1">
      <alignment vertical="center" wrapText="1"/>
    </xf>
    <xf numFmtId="0" fontId="0" fillId="0" borderId="0" xfId="0" applyAlignment="1">
      <alignment horizontal="right"/>
    </xf>
    <xf numFmtId="0" fontId="0" fillId="0" borderId="5" xfId="0" applyBorder="1"/>
    <xf numFmtId="0" fontId="0" fillId="0" borderId="6" xfId="0" applyBorder="1"/>
    <xf numFmtId="0" fontId="0" fillId="0" borderId="7" xfId="0" applyBorder="1"/>
    <xf numFmtId="0" fontId="0" fillId="0" borderId="1" xfId="0" applyBorder="1" applyAlignment="1">
      <alignment horizontal="right"/>
    </xf>
    <xf numFmtId="0" fontId="0" fillId="0" borderId="0" xfId="0" applyBorder="1" applyAlignment="1">
      <alignment horizontal="right"/>
    </xf>
    <xf numFmtId="0" fontId="0" fillId="0" borderId="2" xfId="0" applyBorder="1" applyAlignment="1">
      <alignment horizontal="right"/>
    </xf>
    <xf numFmtId="166" fontId="0" fillId="0" borderId="0" xfId="1" applyNumberFormat="1" applyFont="1" applyBorder="1" applyAlignment="1">
      <alignment horizontal="right"/>
    </xf>
    <xf numFmtId="9" fontId="0" fillId="0" borderId="0" xfId="5" applyFont="1" applyBorder="1"/>
    <xf numFmtId="166" fontId="0" fillId="0" borderId="2" xfId="1" applyNumberFormat="1" applyFont="1" applyBorder="1"/>
    <xf numFmtId="0" fontId="0" fillId="0" borderId="8" xfId="0" applyBorder="1"/>
    <xf numFmtId="166" fontId="0" fillId="19" borderId="1" xfId="1" applyNumberFormat="1" applyFont="1" applyFill="1" applyBorder="1"/>
    <xf numFmtId="166" fontId="0" fillId="19" borderId="1" xfId="1" applyNumberFormat="1" applyFont="1" applyFill="1" applyBorder="1" applyAlignment="1">
      <alignment horizontal="right"/>
    </xf>
    <xf numFmtId="169" fontId="0" fillId="0" borderId="0" xfId="5" applyNumberFormat="1" applyFont="1" applyBorder="1"/>
    <xf numFmtId="0" fontId="60" fillId="22" borderId="17" xfId="0" applyFont="1" applyFill="1" applyBorder="1" applyAlignment="1">
      <alignment horizontal="center"/>
    </xf>
    <xf numFmtId="164" fontId="60" fillId="14" borderId="46" xfId="0" applyNumberFormat="1" applyFont="1" applyFill="1" applyBorder="1" applyAlignment="1">
      <alignment horizontal="center"/>
    </xf>
    <xf numFmtId="164" fontId="59" fillId="17" borderId="46" xfId="0" applyNumberFormat="1" applyFont="1" applyFill="1" applyBorder="1" applyAlignment="1">
      <alignment horizontal="center"/>
    </xf>
    <xf numFmtId="164" fontId="59" fillId="14" borderId="46" xfId="0" applyNumberFormat="1" applyFont="1" applyFill="1" applyBorder="1" applyAlignment="1">
      <alignment horizontal="center"/>
    </xf>
    <xf numFmtId="164" fontId="59" fillId="14" borderId="55" xfId="0" applyNumberFormat="1" applyFont="1" applyFill="1" applyBorder="1" applyAlignment="1">
      <alignment horizontal="center"/>
    </xf>
    <xf numFmtId="0" fontId="60" fillId="23" borderId="17" xfId="0" applyFont="1" applyFill="1" applyBorder="1" applyAlignment="1">
      <alignment horizontal="center"/>
    </xf>
    <xf numFmtId="164" fontId="60" fillId="15" borderId="46" xfId="0" applyNumberFormat="1" applyFont="1" applyFill="1" applyBorder="1" applyAlignment="1">
      <alignment horizontal="center"/>
    </xf>
    <xf numFmtId="164" fontId="59" fillId="20" borderId="46" xfId="0" applyNumberFormat="1" applyFont="1" applyFill="1" applyBorder="1" applyAlignment="1">
      <alignment horizontal="center"/>
    </xf>
    <xf numFmtId="164" fontId="59" fillId="15" borderId="46" xfId="0" applyNumberFormat="1" applyFont="1" applyFill="1" applyBorder="1" applyAlignment="1">
      <alignment horizontal="center"/>
    </xf>
    <xf numFmtId="164" fontId="60" fillId="20" borderId="46" xfId="0" applyNumberFormat="1" applyFont="1" applyFill="1" applyBorder="1" applyAlignment="1">
      <alignment horizontal="center"/>
    </xf>
    <xf numFmtId="164" fontId="59" fillId="15" borderId="55" xfId="0" applyNumberFormat="1" applyFont="1" applyFill="1" applyBorder="1" applyAlignment="1">
      <alignment horizontal="center"/>
    </xf>
    <xf numFmtId="0" fontId="60" fillId="14" borderId="17" xfId="0" applyFont="1" applyFill="1" applyBorder="1" applyAlignment="1">
      <alignment horizontal="center"/>
    </xf>
    <xf numFmtId="164" fontId="60" fillId="17" borderId="46" xfId="0" applyNumberFormat="1" applyFont="1" applyFill="1" applyBorder="1" applyAlignment="1">
      <alignment horizontal="center"/>
    </xf>
    <xf numFmtId="0" fontId="0" fillId="14" borderId="17" xfId="0" applyFill="1" applyBorder="1" applyAlignment="1">
      <alignment horizontal="center"/>
    </xf>
    <xf numFmtId="0" fontId="0" fillId="15" borderId="17" xfId="0" applyFill="1" applyBorder="1" applyAlignment="1">
      <alignment horizontal="center"/>
    </xf>
    <xf numFmtId="164" fontId="0" fillId="15" borderId="46" xfId="0" applyNumberFormat="1" applyFill="1" applyBorder="1" applyAlignment="1">
      <alignment horizontal="center"/>
    </xf>
    <xf numFmtId="0" fontId="44" fillId="15" borderId="56" xfId="0" applyFont="1" applyFill="1" applyBorder="1" applyAlignment="1">
      <alignment horizontal="center"/>
    </xf>
    <xf numFmtId="0" fontId="58" fillId="21" borderId="57" xfId="0" applyFont="1" applyFill="1" applyBorder="1" applyAlignment="1">
      <alignment horizontal="center" vertical="center"/>
    </xf>
    <xf numFmtId="0" fontId="58" fillId="21" borderId="58" xfId="0" applyFont="1" applyFill="1" applyBorder="1" applyAlignment="1">
      <alignment horizontal="center" vertical="center"/>
    </xf>
    <xf numFmtId="0" fontId="58" fillId="21" borderId="59" xfId="0" applyFont="1" applyFill="1" applyBorder="1" applyAlignment="1">
      <alignment horizontal="center" vertical="center"/>
    </xf>
    <xf numFmtId="0" fontId="60" fillId="15" borderId="17" xfId="0" applyFont="1" applyFill="1" applyBorder="1" applyAlignment="1">
      <alignment horizontal="center"/>
    </xf>
    <xf numFmtId="0" fontId="0" fillId="0" borderId="17" xfId="0" applyBorder="1"/>
    <xf numFmtId="0" fontId="61" fillId="24" borderId="5" xfId="0" applyFont="1" applyFill="1" applyBorder="1"/>
    <xf numFmtId="3" fontId="0" fillId="0" borderId="1" xfId="0" applyNumberFormat="1" applyBorder="1" applyAlignment="1">
      <alignment horizontal="left"/>
    </xf>
    <xf numFmtId="3" fontId="0" fillId="0" borderId="8" xfId="0" applyNumberFormat="1" applyBorder="1" applyAlignment="1">
      <alignment horizontal="left"/>
    </xf>
    <xf numFmtId="0" fontId="2" fillId="24" borderId="61" xfId="0" applyFont="1" applyFill="1" applyBorder="1" applyAlignment="1">
      <alignment horizontal="center"/>
    </xf>
    <xf numFmtId="0" fontId="61" fillId="24" borderId="65" xfId="0" applyFont="1" applyFill="1" applyBorder="1"/>
    <xf numFmtId="0" fontId="0" fillId="0" borderId="66" xfId="0" applyBorder="1"/>
    <xf numFmtId="0" fontId="0" fillId="0" borderId="67" xfId="0" applyBorder="1"/>
    <xf numFmtId="174" fontId="0" fillId="0" borderId="0" xfId="1" applyNumberFormat="1" applyFont="1"/>
    <xf numFmtId="0" fontId="2" fillId="24" borderId="17" xfId="0" applyFont="1" applyFill="1" applyBorder="1" applyAlignment="1"/>
    <xf numFmtId="0" fontId="52" fillId="7" borderId="17" xfId="0" applyFont="1" applyFill="1" applyBorder="1"/>
    <xf numFmtId="0" fontId="2" fillId="24" borderId="68" xfId="0" applyFont="1" applyFill="1" applyBorder="1" applyAlignment="1">
      <alignment horizontal="center"/>
    </xf>
    <xf numFmtId="0" fontId="2" fillId="24" borderId="69" xfId="0" applyFont="1" applyFill="1" applyBorder="1" applyAlignment="1"/>
    <xf numFmtId="0" fontId="52" fillId="7" borderId="62" xfId="0" applyFont="1" applyFill="1" applyBorder="1"/>
    <xf numFmtId="0" fontId="2" fillId="24" borderId="70" xfId="0" applyFont="1" applyFill="1" applyBorder="1" applyAlignment="1"/>
    <xf numFmtId="0" fontId="2" fillId="24" borderId="63" xfId="0" applyFont="1" applyFill="1" applyBorder="1" applyAlignment="1"/>
    <xf numFmtId="0" fontId="52" fillId="7" borderId="63" xfId="0" applyFont="1" applyFill="1" applyBorder="1"/>
    <xf numFmtId="0" fontId="52" fillId="7" borderId="64" xfId="0" applyFont="1" applyFill="1" applyBorder="1"/>
    <xf numFmtId="0" fontId="2" fillId="0" borderId="5" xfId="0" applyFont="1" applyBorder="1"/>
    <xf numFmtId="174" fontId="0" fillId="0" borderId="2" xfId="1" applyNumberFormat="1" applyFont="1" applyBorder="1"/>
    <xf numFmtId="174" fontId="0" fillId="0" borderId="4" xfId="1" applyNumberFormat="1" applyFont="1" applyBorder="1"/>
    <xf numFmtId="174" fontId="0" fillId="7" borderId="0" xfId="1" applyNumberFormat="1" applyFont="1" applyFill="1"/>
    <xf numFmtId="0" fontId="63" fillId="9" borderId="0" xfId="0" applyFont="1" applyFill="1" applyBorder="1" applyAlignment="1" applyProtection="1">
      <alignment vertical="center"/>
      <protection hidden="1"/>
    </xf>
    <xf numFmtId="0" fontId="64" fillId="0" borderId="0" xfId="0" applyFont="1" applyAlignment="1" applyProtection="1">
      <protection hidden="1"/>
    </xf>
    <xf numFmtId="0" fontId="65" fillId="9" borderId="0" xfId="0" applyFont="1" applyFill="1" applyBorder="1" applyAlignment="1" applyProtection="1">
      <protection hidden="1"/>
    </xf>
    <xf numFmtId="0" fontId="32" fillId="0" borderId="0" xfId="0" applyFont="1" applyFill="1" applyBorder="1" applyAlignment="1" applyProtection="1">
      <alignment horizontal="left" vertical="center"/>
      <protection hidden="1"/>
    </xf>
    <xf numFmtId="0" fontId="32" fillId="0" borderId="0" xfId="0" applyFont="1" applyBorder="1" applyAlignment="1" applyProtection="1">
      <alignment horizontal="center" vertical="center"/>
      <protection hidden="1"/>
    </xf>
    <xf numFmtId="0" fontId="56" fillId="18" borderId="0" xfId="0" applyFont="1" applyFill="1" applyBorder="1" applyAlignment="1" applyProtection="1">
      <alignment horizontal="left" vertical="center"/>
      <protection hidden="1"/>
    </xf>
    <xf numFmtId="0" fontId="36" fillId="11" borderId="0" xfId="0" applyFont="1" applyFill="1" applyBorder="1" applyAlignment="1" applyProtection="1">
      <alignment horizontal="left" vertical="center"/>
      <protection hidden="1"/>
    </xf>
    <xf numFmtId="43" fontId="57" fillId="18" borderId="0" xfId="1" applyNumberFormat="1" applyFont="1" applyFill="1" applyBorder="1" applyAlignment="1" applyProtection="1">
      <alignment horizontal="left" vertical="center"/>
      <protection hidden="1"/>
    </xf>
    <xf numFmtId="43" fontId="25" fillId="11" borderId="0" xfId="1" applyNumberFormat="1" applyFont="1" applyFill="1" applyBorder="1" applyAlignment="1" applyProtection="1">
      <alignment horizontal="left" vertical="center"/>
      <protection hidden="1"/>
    </xf>
    <xf numFmtId="0" fontId="39" fillId="0" borderId="0" xfId="0" applyFont="1" applyAlignment="1" applyProtection="1">
      <alignment horizontal="left" vertical="center" wrapText="1"/>
      <protection hidden="1"/>
    </xf>
    <xf numFmtId="0" fontId="24" fillId="0" borderId="0" xfId="0" applyFont="1" applyAlignment="1" applyProtection="1">
      <alignment horizontal="left" vertical="center" wrapText="1"/>
      <protection hidden="1"/>
    </xf>
    <xf numFmtId="0" fontId="48" fillId="0" borderId="22" xfId="0" applyFont="1" applyBorder="1" applyAlignment="1" applyProtection="1">
      <alignment horizontal="center" vertical="center"/>
      <protection hidden="1"/>
    </xf>
    <xf numFmtId="0" fontId="48" fillId="0" borderId="0" xfId="0" applyFont="1" applyBorder="1" applyAlignment="1" applyProtection="1">
      <alignment horizontal="center" vertical="center"/>
      <protection hidden="1"/>
    </xf>
    <xf numFmtId="0" fontId="48" fillId="0" borderId="27" xfId="0" applyFont="1" applyBorder="1" applyAlignment="1" applyProtection="1">
      <alignment horizontal="center" vertical="center"/>
      <protection hidden="1"/>
    </xf>
    <xf numFmtId="0" fontId="55" fillId="0" borderId="26" xfId="0" applyFont="1" applyFill="1" applyBorder="1" applyAlignment="1" applyProtection="1">
      <alignment horizontal="center" vertical="center"/>
      <protection hidden="1"/>
    </xf>
    <xf numFmtId="0" fontId="55" fillId="0" borderId="0" xfId="0" applyFont="1" applyFill="1" applyBorder="1" applyAlignment="1" applyProtection="1">
      <alignment horizontal="center" vertical="center"/>
      <protection hidden="1"/>
    </xf>
    <xf numFmtId="0" fontId="62" fillId="24" borderId="60" xfId="0" applyFont="1" applyFill="1" applyBorder="1" applyAlignment="1">
      <alignment horizontal="center"/>
    </xf>
    <xf numFmtId="0" fontId="62" fillId="24" borderId="61" xfId="0" applyFont="1" applyFill="1" applyBorder="1" applyAlignment="1">
      <alignment horizontal="center"/>
    </xf>
    <xf numFmtId="0" fontId="1" fillId="0" borderId="0" xfId="0" applyFont="1" applyAlignment="1">
      <alignment horizontal="center"/>
    </xf>
    <xf numFmtId="0" fontId="0" fillId="0" borderId="0" xfId="0" applyAlignment="1">
      <alignment horizontal="center"/>
    </xf>
    <xf numFmtId="0" fontId="15" fillId="2" borderId="1" xfId="0" applyFont="1" applyFill="1" applyBorder="1" applyAlignment="1">
      <alignment horizontal="left" vertical="center"/>
    </xf>
    <xf numFmtId="0" fontId="15" fillId="2" borderId="0" xfId="0" applyFont="1" applyFill="1" applyBorder="1" applyAlignment="1">
      <alignment horizontal="left" vertical="center"/>
    </xf>
  </cellXfs>
  <cellStyles count="8">
    <cellStyle name="Comma" xfId="1" builtinId="3"/>
    <cellStyle name="Comma 2 2" xfId="2" xr:uid="{00000000-0005-0000-0000-000001000000}"/>
    <cellStyle name="Currency" xfId="3" builtinId="4"/>
    <cellStyle name="Normal" xfId="0" builtinId="0"/>
    <cellStyle name="Normal 2 2" xfId="4" xr:uid="{00000000-0005-0000-0000-000004000000}"/>
    <cellStyle name="Normal 4" xfId="7" xr:uid="{00000000-0005-0000-0000-000005000000}"/>
    <cellStyle name="Percent" xfId="5" builtinId="5"/>
    <cellStyle name="Percent 2 2" xfId="6" xr:uid="{00000000-0005-0000-0000-000007000000}"/>
  </cellStyles>
  <dxfs count="19">
    <dxf>
      <font>
        <b/>
        <sz val="11"/>
        <color theme="1"/>
        <name val="Calibri"/>
        <family val="2"/>
        <scheme val="minor"/>
      </font>
      <numFmt numFmtId="10" formatCode="&quot;$&quot;#,##0_);[Red]\(&quot;$&quot;#,##0\)"/>
      <alignment horizontal="center" vertical="bottom" textRotation="0" wrapText="0" indent="0" justifyLastLine="0" shrinkToFit="0" readingOrder="0"/>
      <border diagonalUp="0" diagonalDown="0">
        <left/>
        <right style="thin">
          <color auto="1"/>
        </right>
        <top style="thin">
          <color auto="1"/>
        </top>
        <bottom style="thin">
          <color auto="1"/>
        </bottom>
        <vertical/>
        <horizontal/>
      </border>
    </dxf>
    <dxf>
      <font>
        <b/>
        <sz val="11"/>
        <color theme="1"/>
        <name val="Calibri"/>
        <family val="2"/>
        <scheme val="minor"/>
      </font>
      <numFmt numFmtId="10" formatCode="&quot;$&quot;#,##0_);[Red]\(&quot;$&quot;#,##0\)"/>
      <alignment horizontal="center" vertical="bottom" textRotation="0" wrapText="0" indent="0" justifyLastLine="0" shrinkToFit="0" readingOrder="0"/>
      <border diagonalUp="0" diagonalDown="0">
        <left/>
        <right style="thin">
          <color auto="1"/>
        </right>
        <top style="thin">
          <color auto="1"/>
        </top>
        <bottom style="thin">
          <color auto="1"/>
        </bottom>
        <vertical/>
        <horizontal/>
      </border>
    </dxf>
    <dxf>
      <font>
        <b/>
        <sz val="11"/>
        <color theme="1"/>
        <name val="Calibri"/>
        <family val="2"/>
        <scheme val="minor"/>
      </font>
      <numFmt numFmtId="10" formatCode="&quot;$&quot;#,##0_);[Red]\(&quot;$&quot;#,##0\)"/>
      <alignment horizontal="center" vertical="bottom" textRotation="0" wrapText="0" indent="0" justifyLastLine="0" shrinkToFit="0" readingOrder="0"/>
      <border diagonalUp="0" diagonalDown="0">
        <left/>
        <right style="thin">
          <color auto="1"/>
        </right>
        <top style="thin">
          <color auto="1"/>
        </top>
        <bottom style="thin">
          <color auto="1"/>
        </bottom>
        <vertical/>
        <horizontal/>
      </border>
    </dxf>
    <dxf>
      <font>
        <b/>
        <sz val="11"/>
        <color theme="1"/>
        <name val="Calibri"/>
        <family val="2"/>
        <scheme val="minor"/>
      </font>
      <numFmt numFmtId="10" formatCode="&quot;$&quot;#,##0_);[Red]\(&quot;$&quot;#,##0\)"/>
      <alignment horizontal="center" vertical="bottom" textRotation="0" wrapText="0" indent="0" justifyLastLine="0" shrinkToFit="0" readingOrder="0"/>
      <border diagonalUp="0" diagonalDown="0">
        <left/>
        <right style="thin">
          <color auto="1"/>
        </right>
        <top style="thin">
          <color auto="1"/>
        </top>
        <bottom style="thin">
          <color auto="1"/>
        </bottom>
        <vertical/>
        <horizontal/>
      </border>
    </dxf>
    <dxf>
      <font>
        <b/>
        <sz val="11"/>
        <color theme="1"/>
        <name val="Calibri"/>
        <family val="2"/>
        <scheme val="minor"/>
      </font>
      <numFmt numFmtId="10" formatCode="&quot;$&quot;#,##0_);[Red]\(&quot;$&quot;#,##0\)"/>
      <alignment horizontal="center" vertical="bottom" textRotation="0" wrapText="0" indent="0" justifyLastLine="0" shrinkToFit="0" readingOrder="0"/>
      <border diagonalUp="0" diagonalDown="0">
        <left/>
        <right style="thin">
          <color auto="1"/>
        </right>
        <top style="thin">
          <color auto="1"/>
        </top>
        <bottom style="thin">
          <color auto="1"/>
        </bottom>
        <vertical/>
        <horizontal/>
      </border>
    </dxf>
    <dxf>
      <font>
        <b/>
        <sz val="11"/>
        <color theme="1"/>
        <name val="Calibri"/>
        <family val="2"/>
        <scheme val="minor"/>
      </font>
      <numFmt numFmtId="10" formatCode="&quot;$&quot;#,##0_);[Red]\(&quot;$&quot;#,##0\)"/>
      <alignment horizontal="center" vertical="bottom" textRotation="0" wrapText="0" indent="0" justifyLastLine="0" shrinkToFit="0" readingOrder="0"/>
      <border diagonalUp="0" diagonalDown="0">
        <left/>
        <right style="thin">
          <color auto="1"/>
        </right>
        <top style="thin">
          <color auto="1"/>
        </top>
        <bottom style="thin">
          <color auto="1"/>
        </bottom>
        <vertical/>
        <horizontal/>
      </border>
    </dxf>
    <dxf>
      <font>
        <b/>
        <sz val="11"/>
        <color theme="1"/>
        <name val="Calibri"/>
        <family val="2"/>
        <scheme val="minor"/>
      </font>
      <numFmt numFmtId="10" formatCode="&quot;$&quot;#,##0_);[Red]\(&quot;$&quot;#,##0\)"/>
      <alignment horizontal="center" vertical="bottom" textRotation="0" wrapText="0" indent="0" justifyLastLine="0" shrinkToFit="0" readingOrder="0"/>
      <border diagonalUp="0" diagonalDown="0">
        <left/>
        <right style="thin">
          <color auto="1"/>
        </right>
        <top style="thin">
          <color auto="1"/>
        </top>
        <bottom style="thin">
          <color auto="1"/>
        </bottom>
        <vertical/>
        <horizontal/>
      </border>
    </dxf>
    <dxf>
      <numFmt numFmtId="10" formatCode="&quot;$&quot;#,##0_);[Red]\(&quot;$&quot;#,##0\)"/>
      <alignment horizontal="center" vertical="bottom" textRotation="0" wrapText="0" indent="0" justifyLastLine="0" shrinkToFit="0" readingOrder="0"/>
      <border diagonalUp="0" diagonalDown="0">
        <left/>
        <right style="thin">
          <color auto="1"/>
        </right>
        <top style="thin">
          <color auto="1"/>
        </top>
        <bottom style="thin">
          <color auto="1"/>
        </bottom>
        <vertical/>
        <horizontal/>
      </border>
    </dxf>
    <dxf>
      <numFmt numFmtId="10" formatCode="&quot;$&quot;#,##0_);[Red]\(&quot;$&quot;#,##0\)"/>
      <alignment horizontal="center" vertical="bottom" textRotation="0" wrapText="0" indent="0" justifyLastLine="0" shrinkToFit="0" readingOrder="0"/>
      <border diagonalUp="0" diagonalDown="0">
        <left/>
        <right style="thin">
          <color auto="1"/>
        </right>
        <top style="thin">
          <color auto="1"/>
        </top>
        <bottom style="thin">
          <color auto="1"/>
        </bottom>
        <vertical/>
        <horizontal/>
      </border>
    </dxf>
    <dxf>
      <numFmt numFmtId="10" formatCode="&quot;$&quot;#,##0_);[Red]\(&quot;$&quot;#,##0\)"/>
      <alignment horizontal="center" vertical="bottom" textRotation="0" wrapText="0" indent="0" justifyLastLine="0" shrinkToFit="0" readingOrder="0"/>
      <border diagonalUp="0" diagonalDown="0">
        <left/>
        <right style="thin">
          <color auto="1"/>
        </right>
        <top style="thin">
          <color auto="1"/>
        </top>
        <bottom style="thin">
          <color auto="1"/>
        </bottom>
        <vertical/>
        <horizontal/>
      </border>
    </dxf>
    <dxf>
      <numFmt numFmtId="10" formatCode="&quot;$&quot;#,##0_);[Red]\(&quot;$&quot;#,##0\)"/>
      <alignment horizontal="center" vertical="bottom" textRotation="0" wrapText="0" indent="0" justifyLastLine="0" shrinkToFit="0" readingOrder="0"/>
      <border diagonalUp="0" diagonalDown="0">
        <left/>
        <right style="thin">
          <color auto="1"/>
        </right>
        <top style="thin">
          <color auto="1"/>
        </top>
        <bottom style="thin">
          <color auto="1"/>
        </bottom>
        <vertical/>
        <horizontal/>
      </border>
    </dxf>
    <dxf>
      <font>
        <b/>
        <sz val="11"/>
        <color theme="1"/>
        <name val="Calibri"/>
        <family val="2"/>
        <scheme val="minor"/>
      </font>
      <numFmt numFmtId="10" formatCode="&quot;$&quot;#,##0_);[Red]\(&quot;$&quot;#,##0\)"/>
      <alignment horizontal="center" vertical="bottom" textRotation="0" wrapText="0" indent="0" justifyLastLine="0" shrinkToFit="0" readingOrder="0"/>
      <border diagonalUp="0" diagonalDown="0">
        <left/>
        <right style="thin">
          <color auto="1"/>
        </right>
        <top style="thin">
          <color auto="1"/>
        </top>
        <bottom style="thin">
          <color auto="1"/>
        </bottom>
        <vertical/>
        <horizontal/>
      </border>
    </dxf>
    <dxf>
      <font>
        <b/>
        <sz val="11"/>
        <color theme="1"/>
        <name val="Calibri"/>
        <family val="2"/>
        <scheme val="minor"/>
      </font>
      <numFmt numFmtId="10" formatCode="&quot;$&quot;#,##0_);[Red]\(&quot;$&quot;#,##0\)"/>
      <alignment horizontal="center" vertical="bottom" textRotation="0" wrapText="0" indent="0" justifyLastLine="0" shrinkToFit="0" readingOrder="0"/>
      <border diagonalUp="0" diagonalDown="0">
        <left/>
        <right style="thin">
          <color auto="1"/>
        </right>
        <top style="thin">
          <color auto="1"/>
        </top>
        <bottom style="thin">
          <color auto="1"/>
        </bottom>
        <vertical/>
        <horizontal/>
      </border>
    </dxf>
    <dxf>
      <font>
        <b/>
        <sz val="11"/>
        <color theme="1"/>
        <name val="Calibri"/>
        <family val="2"/>
        <scheme val="minor"/>
      </font>
      <numFmt numFmtId="10" formatCode="&quot;$&quot;#,##0_);[Red]\(&quot;$&quot;#,##0\)"/>
      <alignment horizontal="center" vertical="bottom" textRotation="0" wrapText="0" indent="0" justifyLastLine="0" shrinkToFit="0" readingOrder="0"/>
      <border diagonalUp="0" diagonalDown="0">
        <left/>
        <right style="thin">
          <color auto="1"/>
        </right>
        <top style="thin">
          <color auto="1"/>
        </top>
        <bottom style="thin">
          <color auto="1"/>
        </bottom>
        <vertical/>
        <horizontal/>
      </border>
    </dxf>
    <dxf>
      <font>
        <b/>
        <sz val="11"/>
        <color theme="1"/>
        <name val="Calibri"/>
        <family val="2"/>
        <scheme val="minor"/>
      </font>
      <alignment horizontal="center" vertical="bottom" textRotation="0" wrapText="0" indent="0" justifyLastLine="0" shrinkToFit="0" readingOrder="0"/>
      <border diagonalUp="0" diagonalDown="0">
        <left style="thin">
          <color auto="1"/>
        </left>
        <right/>
        <top style="thin">
          <color auto="1"/>
        </top>
        <bottom style="thin">
          <color auto="1"/>
        </bottom>
        <vertical/>
        <horizontal/>
      </border>
    </dxf>
    <dxf>
      <border outline="0">
        <bottom style="thin">
          <color auto="1"/>
        </bottom>
      </border>
    </dxf>
    <dxf>
      <font>
        <b/>
        <sz val="11"/>
        <color theme="1"/>
        <name val="Calibri"/>
        <family val="2"/>
        <scheme val="minor"/>
      </font>
      <alignment horizontal="center" vertical="bottom" textRotation="0" wrapText="0" indent="0" justifyLastLine="0" shrinkToFit="0" readingOrder="0"/>
    </dxf>
    <dxf>
      <alignment horizontal="center" vertical="center" textRotation="0" wrapText="0" indent="0" justifyLastLine="0" shrinkToFit="0" readingOrder="0"/>
    </dxf>
    <dxf>
      <font>
        <b/>
        <i val="0"/>
        <color rgb="FFFF0000"/>
      </font>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F5F47"/>
      <color rgb="FF53565A"/>
      <color rgb="FFDADBD6"/>
      <color rgb="FF0000FF"/>
      <color rgb="FFDA291D"/>
      <color rgb="FFA7C9D2"/>
      <color rgb="FFDAEEF3"/>
      <color rgb="FFCE1317"/>
      <color rgb="FFFFFF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microsoft.com/office/2006/relationships/vbaProject" Target="vbaProject.bin"/></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3</xdr:col>
      <xdr:colOff>180975</xdr:colOff>
      <xdr:row>80</xdr:row>
      <xdr:rowOff>81859</xdr:rowOff>
    </xdr:from>
    <xdr:to>
      <xdr:col>11</xdr:col>
      <xdr:colOff>1117600</xdr:colOff>
      <xdr:row>84</xdr:row>
      <xdr:rowOff>34984</xdr:rowOff>
    </xdr:to>
    <xdr:grpSp>
      <xdr:nvGrpSpPr>
        <xdr:cNvPr id="1616" name="Group 6">
          <a:extLst>
            <a:ext uri="{FF2B5EF4-FFF2-40B4-BE49-F238E27FC236}">
              <a16:creationId xmlns:a16="http://schemas.microsoft.com/office/drawing/2014/main" id="{00000000-0008-0000-0000-000050060000}"/>
            </a:ext>
          </a:extLst>
        </xdr:cNvPr>
        <xdr:cNvGrpSpPr>
          <a:grpSpLocks/>
        </xdr:cNvGrpSpPr>
      </xdr:nvGrpSpPr>
      <xdr:grpSpPr bwMode="auto">
        <a:xfrm>
          <a:off x="1146175" y="19843059"/>
          <a:ext cx="13949892" cy="1028392"/>
          <a:chOff x="1387475" y="20473099"/>
          <a:chExt cx="11705849" cy="920750"/>
        </a:xfrm>
      </xdr:grpSpPr>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387475" y="20535877"/>
            <a:ext cx="2731065" cy="837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rtl="0">
              <a:defRPr sz="1000"/>
            </a:pPr>
            <a:r>
              <a:rPr lang="en-US" sz="1100" b="0" i="0" u="none" strike="noStrike" baseline="0">
                <a:latin typeface="Calibri"/>
                <a:cs typeface="Calibri"/>
              </a:rPr>
              <a:t>____________________________________</a:t>
            </a:r>
          </a:p>
          <a:p>
            <a:pPr algn="ctr" rtl="0">
              <a:defRPr sz="1000"/>
            </a:pPr>
            <a:r>
              <a:rPr lang="en-US" sz="1100" b="0" i="0" u="none" strike="noStrike" baseline="0">
                <a:latin typeface="Calibri"/>
                <a:cs typeface="Calibri"/>
              </a:rPr>
              <a:t>Introducer Name</a:t>
            </a:r>
          </a:p>
        </xdr:txBody>
      </xdr:sp>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6813671" y="20473099"/>
            <a:ext cx="3018546" cy="920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a:r>
              <a:rPr lang="en-US" sz="1100" b="0" i="0" baseline="0">
                <a:solidFill>
                  <a:schemeClr val="dk1"/>
                </a:solidFill>
                <a:effectLst/>
                <a:latin typeface="+mn-lt"/>
                <a:ea typeface="+mn-ea"/>
                <a:cs typeface="+mn-cs"/>
              </a:rPr>
              <a:t>________________________________________</a:t>
            </a:r>
            <a:endParaRPr lang="en-US">
              <a:effectLst/>
            </a:endParaRPr>
          </a:p>
          <a:p>
            <a:pPr algn="ctr" rtl="0"/>
            <a:r>
              <a:rPr lang="en-US" sz="1100" b="0" i="0" baseline="0">
                <a:solidFill>
                  <a:schemeClr val="dk1"/>
                </a:solidFill>
                <a:effectLst/>
                <a:latin typeface="+mn-lt"/>
                <a:ea typeface="+mn-ea"/>
                <a:cs typeface="+mn-cs"/>
              </a:rPr>
              <a:t>Introducer Signature</a:t>
            </a:r>
            <a:endParaRPr lang="en-US">
              <a:effectLst/>
            </a:endParaRPr>
          </a:p>
        </xdr:txBody>
      </xdr:sp>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0137665" y="20535877"/>
            <a:ext cx="2955659" cy="837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en-US" sz="1100" b="0" i="0" u="none" strike="noStrike" baseline="0">
                <a:latin typeface="Calibri"/>
                <a:cs typeface="Calibri"/>
              </a:rPr>
              <a:t>________ /___________/___________</a:t>
            </a:r>
          </a:p>
          <a:p>
            <a:pPr algn="ctr" rtl="0">
              <a:defRPr sz="1000"/>
            </a:pPr>
            <a:r>
              <a:rPr lang="en-US" sz="1100" b="0" i="0" u="none" strike="noStrike" baseline="0">
                <a:latin typeface="Calibri"/>
                <a:cs typeface="Calibri"/>
              </a:rPr>
              <a:t>Date</a:t>
            </a:r>
          </a:p>
        </xdr:txBody>
      </xdr:sp>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4217362" y="20535877"/>
            <a:ext cx="2425617" cy="837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r>
              <a:rPr lang="en-US" sz="1100" b="0" i="0" baseline="0">
                <a:solidFill>
                  <a:schemeClr val="dk1"/>
                </a:solidFill>
                <a:effectLst/>
                <a:latin typeface="+mn-lt"/>
                <a:ea typeface="+mn-ea"/>
                <a:cs typeface="+mn-cs"/>
              </a:rPr>
              <a:t>______________________________</a:t>
            </a:r>
            <a:endParaRPr lang="en-US">
              <a:effectLst/>
            </a:endParaRPr>
          </a:p>
          <a:p>
            <a:pPr algn="ctr" rtl="0"/>
            <a:r>
              <a:rPr lang="en-US" sz="1100" b="0" i="0" baseline="0">
                <a:solidFill>
                  <a:schemeClr val="dk1"/>
                </a:solidFill>
                <a:effectLst/>
                <a:latin typeface="+mn-lt"/>
                <a:ea typeface="+mn-ea"/>
                <a:cs typeface="+mn-cs"/>
              </a:rPr>
              <a:t>ACL/ACR</a:t>
            </a:r>
            <a:endParaRPr lang="en-US">
              <a:effectLst/>
            </a:endParaRPr>
          </a:p>
        </xdr:txBody>
      </xdr:sp>
    </xdr:grpSp>
    <xdr:clientData/>
  </xdr:twoCellAnchor>
  <mc:AlternateContent xmlns:mc="http://schemas.openxmlformats.org/markup-compatibility/2006">
    <mc:Choice xmlns:a14="http://schemas.microsoft.com/office/drawing/2010/main" Requires="a14">
      <xdr:twoCellAnchor>
        <xdr:from>
          <xdr:col>11</xdr:col>
          <xdr:colOff>38100</xdr:colOff>
          <xdr:row>6</xdr:row>
          <xdr:rowOff>182880</xdr:rowOff>
        </xdr:from>
        <xdr:to>
          <xdr:col>11</xdr:col>
          <xdr:colOff>990600</xdr:colOff>
          <xdr:row>7</xdr:row>
          <xdr:rowOff>419100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Clear</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4.%20REDZED-Serviceability%20Commercial%20-170410-V0.4%20Te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eability"/>
      <sheetName val="Serviceability Calc"/>
      <sheetName val="Tables"/>
      <sheetName val="Tax Calc"/>
      <sheetName val="User Problems"/>
      <sheetName val="Version Control"/>
      <sheetName val="Day and Months Table"/>
    </sheetNames>
    <sheetDataSet>
      <sheetData sheetId="0"/>
      <sheetData sheetId="1"/>
      <sheetData sheetId="2">
        <row r="22">
          <cell r="B22">
            <v>0.27500000000000002</v>
          </cell>
        </row>
      </sheetData>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7:O62" totalsRowShown="0" headerRowDxfId="17" dataDxfId="16" tableBorderDxfId="15">
  <tableColumns count="15">
    <tableColumn id="1" xr3:uid="{00000000-0010-0000-0000-000001000000}" name="Column1" dataDxfId="14"/>
    <tableColumn id="2" xr3:uid="{00000000-0010-0000-0000-000002000000}" name="Single Adult" dataDxfId="13"/>
    <tableColumn id="3" xr3:uid="{00000000-0010-0000-0000-000003000000}" name="Single Adult + 1 Dependant" dataDxfId="12"/>
    <tableColumn id="4" xr3:uid="{00000000-0010-0000-0000-000004000000}" name="Single Adult + 2 Dependants" dataDxfId="11"/>
    <tableColumn id="5" xr3:uid="{00000000-0010-0000-0000-000005000000}" name="Single Adult + 3 Dependants" dataDxfId="10"/>
    <tableColumn id="6" xr3:uid="{00000000-0010-0000-0000-000006000000}" name="Single Adult + 4 Dependants" dataDxfId="9"/>
    <tableColumn id="7" xr3:uid="{00000000-0010-0000-0000-000007000000}" name="Single Adult + 5 Dependants" dataDxfId="8"/>
    <tableColumn id="8" xr3:uid="{00000000-0010-0000-0000-000008000000}" name="Single Adult + 6 Dependants" dataDxfId="7"/>
    <tableColumn id="9" xr3:uid="{00000000-0010-0000-0000-000009000000}" name="Couple" dataDxfId="6"/>
    <tableColumn id="10" xr3:uid="{00000000-0010-0000-0000-00000A000000}" name="Couple + 1 Dependant" dataDxfId="5"/>
    <tableColumn id="11" xr3:uid="{00000000-0010-0000-0000-00000B000000}" name="Couple + 2 Dependants" dataDxfId="4"/>
    <tableColumn id="12" xr3:uid="{00000000-0010-0000-0000-00000C000000}" name="Couple + 3 Dependants" dataDxfId="3"/>
    <tableColumn id="13" xr3:uid="{00000000-0010-0000-0000-00000D000000}" name="Couple + 4 Dependants" dataDxfId="2"/>
    <tableColumn id="14" xr3:uid="{00000000-0010-0000-0000-00000E000000}" name="Couple + 5 Dependants" dataDxfId="1"/>
    <tableColumn id="15" xr3:uid="{00000000-0010-0000-0000-00000F000000}" name="Couple + 6 Dependant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Y234"/>
  <sheetViews>
    <sheetView showGridLines="0" tabSelected="1" zoomScale="90" zoomScaleNormal="90" workbookViewId="0">
      <selection activeCell="E8" sqref="E8"/>
    </sheetView>
  </sheetViews>
  <sheetFormatPr defaultColWidth="11.44140625" defaultRowHeight="17.399999999999999"/>
  <cols>
    <col min="1" max="1" width="9.33203125" style="164" customWidth="1"/>
    <col min="2" max="2" width="4.109375" style="164" customWidth="1"/>
    <col min="3" max="3" width="0.6640625" style="164" customWidth="1"/>
    <col min="4" max="4" width="45.88671875" style="164" customWidth="1"/>
    <col min="5" max="5" width="67.44140625" style="164" customWidth="1"/>
    <col min="6" max="6" width="23.109375" style="164" bestFit="1" customWidth="1"/>
    <col min="7" max="7" width="17.33203125" style="164" customWidth="1"/>
    <col min="8" max="8" width="9.6640625" style="263" customWidth="1"/>
    <col min="9" max="9" width="12.109375" style="263" customWidth="1"/>
    <col min="10" max="10" width="10.6640625" style="164" customWidth="1"/>
    <col min="11" max="11" width="3.6640625" style="164" customWidth="1"/>
    <col min="12" max="12" width="16.33203125" style="164" customWidth="1"/>
    <col min="13" max="13" width="3.109375" style="164" customWidth="1"/>
    <col min="14" max="14" width="4" style="164" customWidth="1"/>
    <col min="15" max="15" width="16.44140625" style="162" bestFit="1" customWidth="1"/>
    <col min="16" max="16" width="41.33203125" style="162" customWidth="1"/>
    <col min="17" max="17" width="15.44140625" style="162" customWidth="1"/>
    <col min="18" max="18" width="11.44140625" style="162" customWidth="1"/>
    <col min="19" max="19" width="25.44140625" style="162" customWidth="1"/>
    <col min="20" max="20" width="17" style="162" customWidth="1"/>
    <col min="21" max="103" width="11.44140625" style="162" customWidth="1"/>
    <col min="104" max="16384" width="11.44140625" style="164"/>
  </cols>
  <sheetData>
    <row r="1" spans="1:103" ht="30.75" customHeight="1">
      <c r="A1" s="162"/>
      <c r="B1" s="162"/>
      <c r="C1" s="162"/>
      <c r="D1" s="162"/>
      <c r="E1" s="162"/>
      <c r="F1" s="162"/>
      <c r="G1" s="162"/>
      <c r="H1" s="163"/>
      <c r="I1" s="163"/>
      <c r="J1" s="162"/>
      <c r="K1" s="162"/>
      <c r="L1" s="162"/>
      <c r="M1" s="162"/>
      <c r="N1" s="162"/>
    </row>
    <row r="2" spans="1:103" ht="18" customHeight="1">
      <c r="A2" s="162"/>
      <c r="B2" s="165"/>
      <c r="C2" s="165"/>
      <c r="D2" s="165"/>
      <c r="E2" s="166"/>
      <c r="F2" s="166"/>
      <c r="G2" s="166"/>
      <c r="H2" s="166"/>
      <c r="I2" s="166"/>
      <c r="J2" s="166"/>
      <c r="K2" s="166"/>
      <c r="L2" s="166"/>
      <c r="M2" s="166"/>
      <c r="N2" s="166"/>
    </row>
    <row r="3" spans="1:103" s="168" customFormat="1" ht="52.5" customHeight="1">
      <c r="A3" s="167"/>
      <c r="B3" s="165"/>
      <c r="C3" s="391" t="s">
        <v>393</v>
      </c>
      <c r="D3" s="390"/>
      <c r="E3" s="169"/>
      <c r="F3" s="169"/>
      <c r="G3" s="169"/>
      <c r="H3" s="169"/>
      <c r="I3" s="169"/>
      <c r="J3" s="169"/>
      <c r="K3" s="169"/>
      <c r="L3" s="169"/>
      <c r="M3" s="169"/>
      <c r="N3" s="169"/>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167"/>
      <c r="CD3" s="167"/>
      <c r="CE3" s="167"/>
      <c r="CF3" s="167"/>
      <c r="CG3" s="167"/>
      <c r="CH3" s="167"/>
      <c r="CI3" s="167"/>
      <c r="CJ3" s="167"/>
      <c r="CK3" s="167"/>
      <c r="CL3" s="167"/>
      <c r="CM3" s="167"/>
      <c r="CN3" s="167"/>
      <c r="CO3" s="167"/>
      <c r="CP3" s="167"/>
      <c r="CQ3" s="167"/>
      <c r="CR3" s="167"/>
      <c r="CS3" s="167"/>
      <c r="CT3" s="167"/>
      <c r="CU3" s="167"/>
      <c r="CV3" s="167"/>
      <c r="CW3" s="167"/>
      <c r="CX3" s="167"/>
      <c r="CY3" s="167"/>
    </row>
    <row r="4" spans="1:103" s="171" customFormat="1" ht="25.35" customHeight="1">
      <c r="A4" s="170"/>
      <c r="B4" s="165"/>
      <c r="C4" s="165"/>
      <c r="D4" s="389" t="s">
        <v>209</v>
      </c>
      <c r="E4" s="166"/>
      <c r="F4" s="166"/>
      <c r="G4" s="166"/>
      <c r="H4" s="166"/>
      <c r="I4" s="166"/>
      <c r="J4" s="166"/>
      <c r="K4" s="166"/>
      <c r="L4" s="166"/>
      <c r="M4" s="166"/>
      <c r="N4" s="166"/>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0"/>
      <c r="CN4" s="170"/>
      <c r="CO4" s="170"/>
      <c r="CP4" s="170"/>
      <c r="CQ4" s="170"/>
      <c r="CR4" s="170"/>
      <c r="CS4" s="170"/>
      <c r="CT4" s="170"/>
      <c r="CU4" s="170"/>
      <c r="CV4" s="170"/>
      <c r="CW4" s="170"/>
      <c r="CX4" s="170"/>
      <c r="CY4" s="170"/>
    </row>
    <row r="5" spans="1:103" ht="9.9" customHeight="1">
      <c r="A5" s="162"/>
      <c r="B5" s="165"/>
      <c r="C5" s="165"/>
      <c r="D5" s="166"/>
      <c r="E5" s="166"/>
      <c r="F5" s="166"/>
      <c r="G5" s="166"/>
      <c r="H5" s="166"/>
      <c r="I5" s="166"/>
      <c r="J5" s="166"/>
      <c r="K5" s="166"/>
      <c r="L5" s="166"/>
      <c r="M5" s="166"/>
      <c r="N5" s="166"/>
    </row>
    <row r="6" spans="1:103" s="171" customFormat="1" ht="18" customHeight="1">
      <c r="A6" s="170"/>
      <c r="B6" s="165"/>
      <c r="C6" s="165"/>
      <c r="D6" s="172" t="s">
        <v>32</v>
      </c>
      <c r="E6" s="166"/>
      <c r="F6" s="166"/>
      <c r="G6" s="166"/>
      <c r="H6" s="166"/>
      <c r="I6" s="166"/>
      <c r="J6" s="166"/>
      <c r="K6" s="166"/>
      <c r="L6" s="166"/>
      <c r="M6" s="166"/>
      <c r="N6" s="166"/>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row>
    <row r="7" spans="1:103" ht="17.100000000000001" customHeight="1" thickBot="1">
      <c r="A7" s="162"/>
      <c r="B7" s="165"/>
      <c r="C7" s="165"/>
      <c r="D7" s="173"/>
      <c r="E7" s="173"/>
      <c r="F7" s="173"/>
      <c r="G7" s="173"/>
      <c r="H7" s="173"/>
      <c r="I7" s="173"/>
      <c r="J7" s="173"/>
      <c r="K7" s="173"/>
      <c r="L7" s="173"/>
      <c r="M7" s="173"/>
      <c r="N7" s="173"/>
    </row>
    <row r="8" spans="1:103" s="171" customFormat="1" ht="33.9" customHeight="1" thickBot="1">
      <c r="A8" s="170"/>
      <c r="B8" s="165"/>
      <c r="C8" s="165"/>
      <c r="D8" s="174" t="s">
        <v>210</v>
      </c>
      <c r="E8" s="264"/>
      <c r="F8" s="279"/>
      <c r="G8" s="279"/>
      <c r="H8" s="279"/>
      <c r="I8" s="279"/>
      <c r="J8" s="280"/>
      <c r="K8" s="175"/>
      <c r="L8" s="176"/>
      <c r="M8" s="176"/>
      <c r="N8" s="177"/>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170"/>
      <c r="BR8" s="170"/>
      <c r="BS8" s="170"/>
      <c r="BT8" s="170"/>
      <c r="BU8" s="170"/>
      <c r="BV8" s="170"/>
      <c r="BW8" s="170"/>
      <c r="BX8" s="170"/>
      <c r="BY8" s="170"/>
      <c r="BZ8" s="170"/>
      <c r="CA8" s="170"/>
      <c r="CB8" s="170"/>
      <c r="CC8" s="170"/>
      <c r="CD8" s="170"/>
      <c r="CE8" s="170"/>
      <c r="CF8" s="170"/>
      <c r="CG8" s="170"/>
      <c r="CH8" s="170"/>
      <c r="CI8" s="170"/>
      <c r="CJ8" s="170"/>
      <c r="CK8" s="170"/>
      <c r="CL8" s="170"/>
      <c r="CM8" s="170"/>
      <c r="CN8" s="170"/>
      <c r="CO8" s="170"/>
      <c r="CP8" s="170"/>
      <c r="CQ8" s="170"/>
      <c r="CR8" s="170"/>
      <c r="CS8" s="170"/>
      <c r="CT8" s="170"/>
      <c r="CU8" s="170"/>
      <c r="CV8" s="170"/>
      <c r="CW8" s="170"/>
      <c r="CX8" s="170"/>
      <c r="CY8" s="170"/>
    </row>
    <row r="9" spans="1:103" s="171" customFormat="1" ht="17.100000000000001" customHeight="1">
      <c r="A9" s="170"/>
      <c r="B9" s="165"/>
      <c r="C9" s="165"/>
      <c r="E9" s="177"/>
      <c r="F9" s="177"/>
      <c r="G9" s="177"/>
      <c r="H9" s="177"/>
      <c r="I9" s="177"/>
      <c r="J9" s="177"/>
      <c r="K9" s="177"/>
      <c r="L9" s="177"/>
      <c r="M9" s="176"/>
      <c r="N9" s="177"/>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170"/>
      <c r="BJ9" s="170"/>
      <c r="BK9" s="170"/>
      <c r="BL9" s="170"/>
      <c r="BM9" s="170"/>
      <c r="BN9" s="170"/>
      <c r="BO9" s="170"/>
      <c r="BP9" s="170"/>
      <c r="BQ9" s="170"/>
      <c r="BR9" s="170"/>
      <c r="BS9" s="170"/>
      <c r="BT9" s="170"/>
      <c r="BU9" s="170"/>
      <c r="BV9" s="170"/>
      <c r="BW9" s="170"/>
      <c r="BX9" s="170"/>
      <c r="BY9" s="170"/>
      <c r="BZ9" s="170"/>
      <c r="CA9" s="170"/>
      <c r="CB9" s="170"/>
      <c r="CC9" s="170"/>
      <c r="CD9" s="170"/>
      <c r="CE9" s="170"/>
      <c r="CF9" s="170"/>
      <c r="CG9" s="170"/>
      <c r="CH9" s="170"/>
      <c r="CI9" s="170"/>
      <c r="CJ9" s="170"/>
      <c r="CK9" s="170"/>
      <c r="CL9" s="170"/>
      <c r="CM9" s="170"/>
      <c r="CN9" s="170"/>
      <c r="CO9" s="170"/>
      <c r="CP9" s="170"/>
      <c r="CQ9" s="170"/>
      <c r="CR9" s="170"/>
      <c r="CS9" s="170"/>
      <c r="CT9" s="170"/>
      <c r="CU9" s="170"/>
      <c r="CV9" s="170"/>
      <c r="CW9" s="170"/>
      <c r="CX9" s="170"/>
      <c r="CY9" s="170"/>
    </row>
    <row r="10" spans="1:103" s="171" customFormat="1" ht="33" customHeight="1">
      <c r="A10" s="170"/>
      <c r="B10" s="165"/>
      <c r="C10" s="165"/>
      <c r="D10" s="178" t="s">
        <v>55</v>
      </c>
      <c r="E10" s="179"/>
      <c r="F10" s="179"/>
      <c r="G10" s="178" t="s">
        <v>3</v>
      </c>
      <c r="H10" s="180"/>
      <c r="I10" s="180"/>
      <c r="J10" s="178"/>
      <c r="K10" s="178"/>
      <c r="L10" s="181" t="s">
        <v>5</v>
      </c>
      <c r="M10" s="182"/>
      <c r="N10" s="177"/>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c r="BO10" s="170"/>
      <c r="BP10" s="170"/>
      <c r="BQ10" s="170"/>
      <c r="BR10" s="170"/>
      <c r="BS10" s="170"/>
      <c r="BT10" s="170"/>
      <c r="BU10" s="170"/>
      <c r="BV10" s="170"/>
      <c r="BW10" s="170"/>
      <c r="BX10" s="170"/>
      <c r="BY10" s="170"/>
      <c r="BZ10" s="170"/>
      <c r="CA10" s="170"/>
      <c r="CB10" s="170"/>
      <c r="CC10" s="170"/>
      <c r="CD10" s="170"/>
      <c r="CE10" s="170"/>
      <c r="CF10" s="170"/>
      <c r="CG10" s="170"/>
      <c r="CH10" s="170"/>
      <c r="CI10" s="170"/>
      <c r="CJ10" s="170"/>
      <c r="CK10" s="170"/>
      <c r="CL10" s="170"/>
      <c r="CM10" s="170"/>
      <c r="CN10" s="170"/>
      <c r="CO10" s="170"/>
      <c r="CP10" s="170"/>
      <c r="CQ10" s="170"/>
      <c r="CR10" s="170"/>
      <c r="CS10" s="170"/>
      <c r="CT10" s="170"/>
      <c r="CU10" s="170"/>
      <c r="CV10" s="170"/>
      <c r="CW10" s="170"/>
      <c r="CX10" s="170"/>
      <c r="CY10" s="170"/>
    </row>
    <row r="11" spans="1:103" s="171" customFormat="1" ht="3.75" customHeight="1" thickBot="1">
      <c r="A11" s="170"/>
      <c r="B11" s="165"/>
      <c r="C11" s="165"/>
      <c r="D11" s="183"/>
      <c r="E11" s="184"/>
      <c r="F11" s="184"/>
      <c r="G11" s="183"/>
      <c r="H11" s="185"/>
      <c r="I11" s="185"/>
      <c r="J11" s="183"/>
      <c r="K11" s="183"/>
      <c r="L11" s="186"/>
      <c r="M11" s="176"/>
      <c r="N11" s="177"/>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170"/>
      <c r="BK11" s="170"/>
      <c r="BL11" s="170"/>
      <c r="BM11" s="170"/>
      <c r="BN11" s="170"/>
      <c r="BO11" s="170"/>
      <c r="BP11" s="170"/>
      <c r="BQ11" s="170"/>
      <c r="BR11" s="170"/>
      <c r="BS11" s="170"/>
      <c r="BT11" s="170"/>
      <c r="BU11" s="170"/>
      <c r="BV11" s="170"/>
      <c r="BW11" s="170"/>
      <c r="BX11" s="170"/>
      <c r="BY11" s="170"/>
      <c r="BZ11" s="170"/>
      <c r="CA11" s="170"/>
      <c r="CB11" s="170"/>
      <c r="CC11" s="170"/>
      <c r="CD11" s="170"/>
      <c r="CE11" s="170"/>
      <c r="CF11" s="170"/>
      <c r="CG11" s="170"/>
      <c r="CH11" s="170"/>
      <c r="CI11" s="170"/>
      <c r="CJ11" s="170"/>
      <c r="CK11" s="170"/>
      <c r="CL11" s="170"/>
      <c r="CM11" s="170"/>
      <c r="CN11" s="170"/>
      <c r="CO11" s="170"/>
      <c r="CP11" s="170"/>
      <c r="CQ11" s="170"/>
      <c r="CR11" s="170"/>
      <c r="CS11" s="170"/>
      <c r="CT11" s="170"/>
      <c r="CU11" s="170"/>
      <c r="CV11" s="170"/>
      <c r="CW11" s="170"/>
      <c r="CX11" s="170"/>
      <c r="CY11" s="170"/>
    </row>
    <row r="12" spans="1:103" s="171" customFormat="1" ht="24.75" customHeight="1" thickTop="1" thickBot="1">
      <c r="A12" s="170"/>
      <c r="B12" s="165"/>
      <c r="C12" s="165"/>
      <c r="D12" s="187" t="s">
        <v>56</v>
      </c>
      <c r="E12" s="188"/>
      <c r="F12" s="290" t="s">
        <v>283</v>
      </c>
      <c r="G12" s="188"/>
      <c r="H12" s="189"/>
      <c r="I12" s="189"/>
      <c r="J12" s="188"/>
      <c r="K12" s="188"/>
      <c r="L12" s="188"/>
      <c r="M12" s="190"/>
      <c r="N12" s="177"/>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c r="BJ12" s="170"/>
      <c r="BK12" s="170"/>
      <c r="BL12" s="170"/>
      <c r="BM12" s="170"/>
      <c r="BN12" s="170"/>
      <c r="BO12" s="170"/>
      <c r="BP12" s="170"/>
      <c r="BQ12" s="170"/>
      <c r="BR12" s="170"/>
      <c r="BS12" s="170"/>
      <c r="BT12" s="170"/>
      <c r="BU12" s="170"/>
      <c r="BV12" s="170"/>
      <c r="BW12" s="170"/>
      <c r="BX12" s="170"/>
      <c r="BY12" s="170"/>
      <c r="BZ12" s="170"/>
      <c r="CA12" s="170"/>
      <c r="CB12" s="170"/>
      <c r="CC12" s="170"/>
      <c r="CD12" s="170"/>
      <c r="CE12" s="170"/>
      <c r="CF12" s="170"/>
      <c r="CG12" s="170"/>
      <c r="CH12" s="170"/>
      <c r="CI12" s="170"/>
      <c r="CJ12" s="170"/>
      <c r="CK12" s="170"/>
      <c r="CL12" s="170"/>
      <c r="CM12" s="170"/>
      <c r="CN12" s="170"/>
      <c r="CO12" s="170"/>
      <c r="CP12" s="170"/>
      <c r="CQ12" s="170"/>
      <c r="CR12" s="170"/>
      <c r="CS12" s="170"/>
      <c r="CT12" s="170"/>
      <c r="CU12" s="170"/>
      <c r="CV12" s="170"/>
      <c r="CW12" s="170"/>
      <c r="CX12" s="170"/>
      <c r="CY12" s="170"/>
    </row>
    <row r="13" spans="1:103" s="171" customFormat="1" ht="18" customHeight="1">
      <c r="A13" s="170"/>
      <c r="B13" s="165"/>
      <c r="C13" s="165"/>
      <c r="D13" s="191" t="s">
        <v>74</v>
      </c>
      <c r="E13" s="192" t="s">
        <v>73</v>
      </c>
      <c r="F13" s="295" t="s">
        <v>250</v>
      </c>
      <c r="G13" s="287">
        <v>100000</v>
      </c>
      <c r="H13" s="177" t="s">
        <v>47</v>
      </c>
      <c r="I13" s="177"/>
      <c r="J13" s="176"/>
      <c r="K13" s="176"/>
      <c r="L13" s="193">
        <f>'Tax Calc'!I5</f>
        <v>6317.7804166666656</v>
      </c>
      <c r="M13" s="194"/>
      <c r="N13" s="177"/>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c r="BS13" s="170"/>
      <c r="BT13" s="170"/>
      <c r="BU13" s="170"/>
      <c r="BV13" s="170"/>
      <c r="BW13" s="170"/>
      <c r="BX13" s="170"/>
      <c r="BY13" s="170"/>
      <c r="BZ13" s="170"/>
      <c r="CA13" s="170"/>
      <c r="CB13" s="170"/>
      <c r="CC13" s="170"/>
      <c r="CD13" s="170"/>
      <c r="CE13" s="170"/>
      <c r="CF13" s="170"/>
      <c r="CG13" s="170"/>
      <c r="CH13" s="170"/>
      <c r="CI13" s="170"/>
      <c r="CJ13" s="170"/>
      <c r="CK13" s="170"/>
      <c r="CL13" s="170"/>
      <c r="CM13" s="170"/>
      <c r="CN13" s="170"/>
      <c r="CO13" s="170"/>
      <c r="CP13" s="170"/>
      <c r="CQ13" s="170"/>
      <c r="CR13" s="170"/>
      <c r="CS13" s="170"/>
      <c r="CT13" s="170"/>
      <c r="CU13" s="170"/>
      <c r="CV13" s="170"/>
      <c r="CW13" s="170"/>
      <c r="CX13" s="170"/>
      <c r="CY13" s="170"/>
    </row>
    <row r="14" spans="1:103" s="171" customFormat="1" ht="18" customHeight="1">
      <c r="A14" s="170"/>
      <c r="B14" s="165"/>
      <c r="C14" s="165"/>
      <c r="D14" s="191" t="s">
        <v>75</v>
      </c>
      <c r="E14" s="192" t="s">
        <v>73</v>
      </c>
      <c r="F14" s="296" t="s">
        <v>251</v>
      </c>
      <c r="G14" s="288">
        <v>150000</v>
      </c>
      <c r="H14" s="177"/>
      <c r="I14" s="177"/>
      <c r="J14" s="176"/>
      <c r="K14" s="176"/>
      <c r="L14" s="193">
        <f>'Tax Calc'!I6</f>
        <v>8869.4483333333319</v>
      </c>
      <c r="M14" s="194"/>
      <c r="N14" s="177"/>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c r="BK14" s="170"/>
      <c r="BL14" s="170"/>
      <c r="BM14" s="170"/>
      <c r="BN14" s="170"/>
      <c r="BO14" s="170"/>
      <c r="BP14" s="170"/>
      <c r="BQ14" s="170"/>
      <c r="BR14" s="170"/>
      <c r="BS14" s="170"/>
      <c r="BT14" s="170"/>
      <c r="BU14" s="170"/>
      <c r="BV14" s="170"/>
      <c r="BW14" s="170"/>
      <c r="BX14" s="170"/>
      <c r="BY14" s="170"/>
      <c r="BZ14" s="170"/>
      <c r="CA14" s="170"/>
      <c r="CB14" s="170"/>
      <c r="CC14" s="170"/>
      <c r="CD14" s="170"/>
      <c r="CE14" s="170"/>
      <c r="CF14" s="170"/>
      <c r="CG14" s="170"/>
      <c r="CH14" s="170"/>
      <c r="CI14" s="170"/>
      <c r="CJ14" s="170"/>
      <c r="CK14" s="170"/>
      <c r="CL14" s="170"/>
      <c r="CM14" s="170"/>
      <c r="CN14" s="170"/>
      <c r="CO14" s="170"/>
      <c r="CP14" s="170"/>
      <c r="CQ14" s="170"/>
      <c r="CR14" s="170"/>
      <c r="CS14" s="170"/>
      <c r="CT14" s="170"/>
      <c r="CU14" s="170"/>
      <c r="CV14" s="170"/>
      <c r="CW14" s="170"/>
      <c r="CX14" s="170"/>
      <c r="CY14" s="170"/>
    </row>
    <row r="15" spans="1:103" s="171" customFormat="1" ht="18" customHeight="1">
      <c r="A15" s="170"/>
      <c r="B15" s="165"/>
      <c r="C15" s="165"/>
      <c r="D15" s="191" t="s">
        <v>76</v>
      </c>
      <c r="E15" s="192" t="s">
        <v>73</v>
      </c>
      <c r="F15" s="296"/>
      <c r="G15" s="288"/>
      <c r="H15" s="177"/>
      <c r="I15" s="177"/>
      <c r="J15" s="176"/>
      <c r="K15" s="176"/>
      <c r="L15" s="193">
        <f>'Tax Calc'!I7</f>
        <v>0</v>
      </c>
      <c r="M15" s="194"/>
      <c r="N15" s="177"/>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c r="BM15" s="170"/>
      <c r="BN15" s="170"/>
      <c r="BO15" s="170"/>
      <c r="BP15" s="170"/>
      <c r="BQ15" s="170"/>
      <c r="BR15" s="170"/>
      <c r="BS15" s="170"/>
      <c r="BT15" s="170"/>
      <c r="BU15" s="170"/>
      <c r="BV15" s="170"/>
      <c r="BW15" s="170"/>
      <c r="BX15" s="170"/>
      <c r="BY15" s="170"/>
      <c r="BZ15" s="170"/>
      <c r="CA15" s="170"/>
      <c r="CB15" s="170"/>
      <c r="CC15" s="170"/>
      <c r="CD15" s="170"/>
      <c r="CE15" s="170"/>
      <c r="CF15" s="170"/>
      <c r="CG15" s="170"/>
      <c r="CH15" s="170"/>
      <c r="CI15" s="170"/>
      <c r="CJ15" s="170"/>
      <c r="CK15" s="170"/>
      <c r="CL15" s="170"/>
      <c r="CM15" s="170"/>
      <c r="CN15" s="170"/>
      <c r="CO15" s="170"/>
      <c r="CP15" s="170"/>
      <c r="CQ15" s="170"/>
      <c r="CR15" s="170"/>
      <c r="CS15" s="170"/>
      <c r="CT15" s="170"/>
      <c r="CU15" s="170"/>
      <c r="CV15" s="170"/>
      <c r="CW15" s="170"/>
      <c r="CX15" s="170"/>
      <c r="CY15" s="170"/>
    </row>
    <row r="16" spans="1:103" s="171" customFormat="1" ht="18" customHeight="1" thickBot="1">
      <c r="A16" s="170"/>
      <c r="B16" s="165"/>
      <c r="C16" s="165"/>
      <c r="D16" s="191" t="s">
        <v>77</v>
      </c>
      <c r="E16" s="192" t="s">
        <v>73</v>
      </c>
      <c r="F16" s="297"/>
      <c r="G16" s="289"/>
      <c r="H16" s="177"/>
      <c r="I16" s="177"/>
      <c r="J16" s="176"/>
      <c r="K16" s="176"/>
      <c r="L16" s="193">
        <f>'Tax Calc'!I8</f>
        <v>0</v>
      </c>
      <c r="M16" s="194"/>
      <c r="N16" s="177"/>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0"/>
      <c r="CA16" s="170"/>
      <c r="CB16" s="170"/>
      <c r="CC16" s="170"/>
      <c r="CD16" s="170"/>
      <c r="CE16" s="170"/>
      <c r="CF16" s="170"/>
      <c r="CG16" s="170"/>
      <c r="CH16" s="170"/>
      <c r="CI16" s="170"/>
      <c r="CJ16" s="170"/>
      <c r="CK16" s="170"/>
      <c r="CL16" s="170"/>
      <c r="CM16" s="170"/>
      <c r="CN16" s="170"/>
      <c r="CO16" s="170"/>
      <c r="CP16" s="170"/>
      <c r="CQ16" s="170"/>
      <c r="CR16" s="170"/>
      <c r="CS16" s="170"/>
      <c r="CT16" s="170"/>
      <c r="CU16" s="170"/>
      <c r="CV16" s="170"/>
      <c r="CW16" s="170"/>
      <c r="CX16" s="170"/>
      <c r="CY16" s="170"/>
    </row>
    <row r="17" spans="1:103" s="171" customFormat="1" ht="18" customHeight="1">
      <c r="A17" s="170"/>
      <c r="B17" s="165"/>
      <c r="C17" s="165"/>
      <c r="D17" s="195"/>
      <c r="E17" s="176"/>
      <c r="F17" s="293"/>
      <c r="G17" s="176"/>
      <c r="H17" s="177"/>
      <c r="I17" s="177"/>
      <c r="J17" s="176"/>
      <c r="K17" s="176"/>
      <c r="L17" s="176"/>
      <c r="M17" s="194"/>
      <c r="N17" s="177"/>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70"/>
      <c r="BM17" s="170"/>
      <c r="BN17" s="170"/>
      <c r="BO17" s="170"/>
      <c r="BP17" s="170"/>
      <c r="BQ17" s="170"/>
      <c r="BR17" s="170"/>
      <c r="BS17" s="170"/>
      <c r="BT17" s="170"/>
      <c r="BU17" s="170"/>
      <c r="BV17" s="170"/>
      <c r="BW17" s="170"/>
      <c r="BX17" s="170"/>
      <c r="BY17" s="170"/>
      <c r="BZ17" s="170"/>
      <c r="CA17" s="170"/>
      <c r="CB17" s="170"/>
      <c r="CC17" s="170"/>
      <c r="CD17" s="170"/>
      <c r="CE17" s="170"/>
      <c r="CF17" s="170"/>
      <c r="CG17" s="170"/>
      <c r="CH17" s="170"/>
      <c r="CI17" s="170"/>
      <c r="CJ17" s="170"/>
      <c r="CK17" s="170"/>
      <c r="CL17" s="170"/>
      <c r="CM17" s="170"/>
      <c r="CN17" s="170"/>
      <c r="CO17" s="170"/>
      <c r="CP17" s="170"/>
      <c r="CQ17" s="170"/>
      <c r="CR17" s="170"/>
      <c r="CS17" s="170"/>
      <c r="CT17" s="170"/>
      <c r="CU17" s="170"/>
      <c r="CV17" s="170"/>
      <c r="CW17" s="170"/>
      <c r="CX17" s="170"/>
      <c r="CY17" s="170"/>
    </row>
    <row r="18" spans="1:103" s="171" customFormat="1" ht="16.5" customHeight="1" thickBot="1">
      <c r="A18" s="170"/>
      <c r="B18" s="165"/>
      <c r="C18" s="165"/>
      <c r="D18" s="195"/>
      <c r="E18" s="176"/>
      <c r="F18" s="292" t="s">
        <v>283</v>
      </c>
      <c r="G18" s="392" t="s">
        <v>95</v>
      </c>
      <c r="H18" s="392"/>
      <c r="I18" s="392"/>
      <c r="J18" s="176"/>
      <c r="K18" s="176"/>
      <c r="L18" s="176"/>
      <c r="M18" s="194"/>
      <c r="N18" s="177"/>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0"/>
      <c r="BI18" s="170"/>
      <c r="BJ18" s="170"/>
      <c r="BK18" s="170"/>
      <c r="BL18" s="170"/>
      <c r="BM18" s="170"/>
      <c r="BN18" s="170"/>
      <c r="BO18" s="170"/>
      <c r="BP18" s="170"/>
      <c r="BQ18" s="170"/>
      <c r="BR18" s="170"/>
      <c r="BS18" s="170"/>
      <c r="BT18" s="170"/>
      <c r="BU18" s="170"/>
      <c r="BV18" s="170"/>
      <c r="BW18" s="170"/>
      <c r="BX18" s="170"/>
      <c r="BY18" s="170"/>
      <c r="BZ18" s="170"/>
      <c r="CA18" s="170"/>
      <c r="CB18" s="170"/>
      <c r="CC18" s="170"/>
      <c r="CD18" s="170"/>
      <c r="CE18" s="170"/>
      <c r="CF18" s="170"/>
      <c r="CG18" s="170"/>
      <c r="CH18" s="170"/>
      <c r="CI18" s="170"/>
      <c r="CJ18" s="170"/>
      <c r="CK18" s="170"/>
      <c r="CL18" s="170"/>
      <c r="CM18" s="170"/>
      <c r="CN18" s="170"/>
      <c r="CO18" s="170"/>
      <c r="CP18" s="170"/>
      <c r="CQ18" s="170"/>
      <c r="CR18" s="170"/>
      <c r="CS18" s="170"/>
      <c r="CT18" s="170"/>
      <c r="CU18" s="170"/>
      <c r="CV18" s="170"/>
      <c r="CW18" s="170"/>
      <c r="CX18" s="170"/>
      <c r="CY18" s="170"/>
    </row>
    <row r="19" spans="1:103" s="171" customFormat="1" ht="18" customHeight="1">
      <c r="A19" s="170"/>
      <c r="B19" s="165"/>
      <c r="C19" s="165"/>
      <c r="D19" s="191" t="s">
        <v>74</v>
      </c>
      <c r="E19" s="192" t="s">
        <v>211</v>
      </c>
      <c r="F19" s="295"/>
      <c r="G19" s="281"/>
      <c r="H19" s="281"/>
      <c r="I19" s="291"/>
      <c r="J19" s="176"/>
      <c r="K19" s="176"/>
      <c r="L19" s="148"/>
      <c r="M19" s="194"/>
      <c r="N19" s="177"/>
      <c r="O19" s="170"/>
      <c r="P19" s="196"/>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c r="BK19" s="170"/>
      <c r="BL19" s="170"/>
      <c r="BM19" s="170"/>
      <c r="BN19" s="170"/>
      <c r="BO19" s="170"/>
      <c r="BP19" s="170"/>
      <c r="BQ19" s="170"/>
      <c r="BR19" s="170"/>
      <c r="BS19" s="170"/>
      <c r="BT19" s="170"/>
      <c r="BU19" s="170"/>
      <c r="BV19" s="170"/>
      <c r="BW19" s="170"/>
      <c r="BX19" s="170"/>
      <c r="BY19" s="170"/>
      <c r="BZ19" s="170"/>
      <c r="CA19" s="170"/>
      <c r="CB19" s="170"/>
      <c r="CC19" s="170"/>
      <c r="CD19" s="170"/>
      <c r="CE19" s="170"/>
      <c r="CF19" s="170"/>
      <c r="CG19" s="170"/>
      <c r="CH19" s="170"/>
      <c r="CI19" s="170"/>
      <c r="CJ19" s="170"/>
      <c r="CK19" s="170"/>
      <c r="CL19" s="170"/>
      <c r="CM19" s="170"/>
      <c r="CN19" s="170"/>
      <c r="CO19" s="170"/>
      <c r="CP19" s="170"/>
      <c r="CQ19" s="170"/>
      <c r="CR19" s="170"/>
      <c r="CS19" s="170"/>
      <c r="CT19" s="170"/>
      <c r="CU19" s="170"/>
      <c r="CV19" s="170"/>
      <c r="CW19" s="170"/>
      <c r="CX19" s="170"/>
      <c r="CY19" s="170"/>
    </row>
    <row r="20" spans="1:103" s="171" customFormat="1" ht="18" customHeight="1">
      <c r="A20" s="170"/>
      <c r="B20" s="165"/>
      <c r="C20" s="165"/>
      <c r="D20" s="191" t="s">
        <v>75</v>
      </c>
      <c r="E20" s="192" t="s">
        <v>211</v>
      </c>
      <c r="F20" s="296"/>
      <c r="G20" s="285"/>
      <c r="H20" s="282"/>
      <c r="I20" s="291"/>
      <c r="J20" s="176"/>
      <c r="K20" s="176"/>
      <c r="L20" s="149"/>
      <c r="M20" s="194"/>
      <c r="N20" s="177"/>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70"/>
      <c r="CE20" s="170"/>
      <c r="CF20" s="170"/>
      <c r="CG20" s="170"/>
      <c r="CH20" s="170"/>
      <c r="CI20" s="170"/>
      <c r="CJ20" s="170"/>
      <c r="CK20" s="170"/>
      <c r="CL20" s="170"/>
      <c r="CM20" s="170"/>
      <c r="CN20" s="170"/>
      <c r="CO20" s="170"/>
      <c r="CP20" s="170"/>
      <c r="CQ20" s="170"/>
      <c r="CR20" s="170"/>
      <c r="CS20" s="170"/>
      <c r="CT20" s="170"/>
      <c r="CU20" s="170"/>
      <c r="CV20" s="170"/>
      <c r="CW20" s="170"/>
      <c r="CX20" s="170"/>
      <c r="CY20" s="170"/>
    </row>
    <row r="21" spans="1:103" s="171" customFormat="1" ht="18" customHeight="1">
      <c r="A21" s="170"/>
      <c r="B21" s="165"/>
      <c r="C21" s="165"/>
      <c r="D21" s="191" t="s">
        <v>76</v>
      </c>
      <c r="E21" s="284" t="s">
        <v>211</v>
      </c>
      <c r="F21" s="296"/>
      <c r="G21" s="285"/>
      <c r="H21" s="282"/>
      <c r="I21" s="291"/>
      <c r="J21" s="176"/>
      <c r="K21" s="176"/>
      <c r="L21" s="149"/>
      <c r="M21" s="194"/>
      <c r="N21" s="177"/>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c r="BK21" s="170"/>
      <c r="BL21" s="170"/>
      <c r="BM21" s="170"/>
      <c r="BN21" s="170"/>
      <c r="BO21" s="170"/>
      <c r="BP21" s="170"/>
      <c r="BQ21" s="170"/>
      <c r="BR21" s="170"/>
      <c r="BS21" s="170"/>
      <c r="BT21" s="170"/>
      <c r="BU21" s="170"/>
      <c r="BV21" s="170"/>
      <c r="BW21" s="170"/>
      <c r="BX21" s="170"/>
      <c r="BY21" s="170"/>
      <c r="BZ21" s="170"/>
      <c r="CA21" s="170"/>
      <c r="CB21" s="170"/>
      <c r="CC21" s="170"/>
      <c r="CD21" s="170"/>
      <c r="CE21" s="170"/>
      <c r="CF21" s="170"/>
      <c r="CG21" s="170"/>
      <c r="CH21" s="170"/>
      <c r="CI21" s="170"/>
      <c r="CJ21" s="170"/>
      <c r="CK21" s="170"/>
      <c r="CL21" s="170"/>
      <c r="CM21" s="170"/>
      <c r="CN21" s="170"/>
      <c r="CO21" s="170"/>
      <c r="CP21" s="170"/>
      <c r="CQ21" s="170"/>
      <c r="CR21" s="170"/>
      <c r="CS21" s="170"/>
      <c r="CT21" s="170"/>
      <c r="CU21" s="170"/>
      <c r="CV21" s="170"/>
      <c r="CW21" s="170"/>
      <c r="CX21" s="170"/>
      <c r="CY21" s="170"/>
    </row>
    <row r="22" spans="1:103" s="171" customFormat="1" ht="18" customHeight="1" thickBot="1">
      <c r="A22" s="170"/>
      <c r="B22" s="165"/>
      <c r="C22" s="165"/>
      <c r="D22" s="191" t="s">
        <v>77</v>
      </c>
      <c r="E22" s="192" t="s">
        <v>211</v>
      </c>
      <c r="F22" s="297"/>
      <c r="G22" s="286"/>
      <c r="H22" s="283"/>
      <c r="I22" s="291"/>
      <c r="J22" s="176"/>
      <c r="K22" s="176"/>
      <c r="L22" s="150"/>
      <c r="M22" s="194"/>
      <c r="N22" s="177"/>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70"/>
      <c r="CE22" s="170"/>
      <c r="CF22" s="170"/>
      <c r="CG22" s="170"/>
      <c r="CH22" s="170"/>
      <c r="CI22" s="170"/>
      <c r="CJ22" s="170"/>
      <c r="CK22" s="170"/>
      <c r="CL22" s="170"/>
      <c r="CM22" s="170"/>
      <c r="CN22" s="170"/>
      <c r="CO22" s="170"/>
      <c r="CP22" s="170"/>
      <c r="CQ22" s="170"/>
      <c r="CR22" s="170"/>
      <c r="CS22" s="170"/>
      <c r="CT22" s="170"/>
      <c r="CU22" s="170"/>
      <c r="CV22" s="170"/>
      <c r="CW22" s="170"/>
      <c r="CX22" s="170"/>
      <c r="CY22" s="170"/>
    </row>
    <row r="23" spans="1:103" s="171" customFormat="1" ht="18" customHeight="1" thickBot="1">
      <c r="A23" s="170"/>
      <c r="B23" s="165"/>
      <c r="C23" s="165"/>
      <c r="D23" s="195"/>
      <c r="E23" s="176"/>
      <c r="F23" s="176"/>
      <c r="G23" s="197"/>
      <c r="H23" s="177"/>
      <c r="I23" s="177"/>
      <c r="J23" s="176"/>
      <c r="K23" s="176"/>
      <c r="L23" s="197"/>
      <c r="M23" s="194"/>
      <c r="N23" s="177"/>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0"/>
      <c r="BY23" s="170"/>
      <c r="BZ23" s="170"/>
      <c r="CA23" s="170"/>
      <c r="CB23" s="170"/>
      <c r="CC23" s="170"/>
      <c r="CD23" s="170"/>
      <c r="CE23" s="170"/>
      <c r="CF23" s="170"/>
      <c r="CG23" s="170"/>
      <c r="CH23" s="170"/>
      <c r="CI23" s="170"/>
      <c r="CJ23" s="170"/>
      <c r="CK23" s="170"/>
      <c r="CL23" s="170"/>
      <c r="CM23" s="170"/>
      <c r="CN23" s="170"/>
      <c r="CO23" s="170"/>
      <c r="CP23" s="170"/>
      <c r="CQ23" s="170"/>
      <c r="CR23" s="170"/>
      <c r="CS23" s="170"/>
      <c r="CT23" s="170"/>
      <c r="CU23" s="170"/>
      <c r="CV23" s="170"/>
      <c r="CW23" s="170"/>
      <c r="CX23" s="170"/>
      <c r="CY23" s="170"/>
    </row>
    <row r="24" spans="1:103" s="171" customFormat="1" ht="18" customHeight="1">
      <c r="A24" s="170"/>
      <c r="B24" s="165"/>
      <c r="C24" s="165"/>
      <c r="D24" s="191" t="s">
        <v>1</v>
      </c>
      <c r="E24" s="192" t="s">
        <v>28</v>
      </c>
      <c r="F24" s="176"/>
      <c r="G24" s="159"/>
      <c r="H24" s="177"/>
      <c r="I24" s="177"/>
      <c r="J24" s="176"/>
      <c r="K24" s="176"/>
      <c r="L24" s="193">
        <f>G24*0.8/12</f>
        <v>0</v>
      </c>
      <c r="M24" s="194"/>
      <c r="N24" s="177"/>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c r="BQ24" s="170"/>
      <c r="BR24" s="170"/>
      <c r="BS24" s="170"/>
      <c r="BT24" s="170"/>
      <c r="BU24" s="170"/>
      <c r="BV24" s="170"/>
      <c r="BW24" s="170"/>
      <c r="BX24" s="170"/>
      <c r="BY24" s="170"/>
      <c r="BZ24" s="170"/>
      <c r="CA24" s="170"/>
      <c r="CB24" s="170"/>
      <c r="CC24" s="170"/>
      <c r="CD24" s="170"/>
      <c r="CE24" s="170"/>
      <c r="CF24" s="170"/>
      <c r="CG24" s="170"/>
      <c r="CH24" s="170"/>
      <c r="CI24" s="170"/>
      <c r="CJ24" s="170"/>
      <c r="CK24" s="170"/>
      <c r="CL24" s="170"/>
      <c r="CM24" s="170"/>
      <c r="CN24" s="170"/>
      <c r="CO24" s="170"/>
      <c r="CP24" s="170"/>
      <c r="CQ24" s="170"/>
      <c r="CR24" s="170"/>
      <c r="CS24" s="170"/>
      <c r="CT24" s="170"/>
      <c r="CU24" s="170"/>
      <c r="CV24" s="170"/>
      <c r="CW24" s="170"/>
      <c r="CX24" s="170"/>
      <c r="CY24" s="170"/>
    </row>
    <row r="25" spans="1:103" s="171" customFormat="1" ht="18" customHeight="1" thickBot="1">
      <c r="A25" s="170"/>
      <c r="B25" s="165"/>
      <c r="C25" s="165"/>
      <c r="D25" s="191" t="s">
        <v>1</v>
      </c>
      <c r="E25" s="192" t="s">
        <v>29</v>
      </c>
      <c r="F25" s="176"/>
      <c r="G25" s="160"/>
      <c r="H25" s="177"/>
      <c r="I25" s="177"/>
      <c r="J25" s="176"/>
      <c r="K25" s="176"/>
      <c r="L25" s="193">
        <f>G25*0.8/12</f>
        <v>0</v>
      </c>
      <c r="M25" s="194"/>
      <c r="N25" s="177"/>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0"/>
      <c r="BI25" s="170"/>
      <c r="BJ25" s="170"/>
      <c r="BK25" s="170"/>
      <c r="BL25" s="170"/>
      <c r="BM25" s="170"/>
      <c r="BN25" s="170"/>
      <c r="BO25" s="170"/>
      <c r="BP25" s="170"/>
      <c r="BQ25" s="170"/>
      <c r="BR25" s="170"/>
      <c r="BS25" s="170"/>
      <c r="BT25" s="170"/>
      <c r="BU25" s="170"/>
      <c r="BV25" s="170"/>
      <c r="BW25" s="170"/>
      <c r="BX25" s="170"/>
      <c r="BY25" s="170"/>
      <c r="BZ25" s="170"/>
      <c r="CA25" s="170"/>
      <c r="CB25" s="170"/>
      <c r="CC25" s="170"/>
      <c r="CD25" s="170"/>
      <c r="CE25" s="170"/>
      <c r="CF25" s="170"/>
      <c r="CG25" s="170"/>
      <c r="CH25" s="170"/>
      <c r="CI25" s="170"/>
      <c r="CJ25" s="170"/>
      <c r="CK25" s="170"/>
      <c r="CL25" s="170"/>
      <c r="CM25" s="170"/>
      <c r="CN25" s="170"/>
      <c r="CO25" s="170"/>
      <c r="CP25" s="170"/>
      <c r="CQ25" s="170"/>
      <c r="CR25" s="170"/>
      <c r="CS25" s="170"/>
      <c r="CT25" s="170"/>
      <c r="CU25" s="170"/>
      <c r="CV25" s="170"/>
      <c r="CW25" s="170"/>
      <c r="CX25" s="170"/>
      <c r="CY25" s="170"/>
    </row>
    <row r="26" spans="1:103" s="171" customFormat="1" ht="18" customHeight="1">
      <c r="A26" s="170"/>
      <c r="B26" s="165"/>
      <c r="C26" s="165"/>
      <c r="D26" s="195"/>
      <c r="E26" s="198"/>
      <c r="F26" s="176"/>
      <c r="G26" s="197"/>
      <c r="H26" s="177"/>
      <c r="I26" s="177"/>
      <c r="J26" s="176"/>
      <c r="K26" s="176"/>
      <c r="L26" s="176"/>
      <c r="M26" s="194"/>
      <c r="N26" s="177"/>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0"/>
      <c r="CB26" s="170"/>
      <c r="CC26" s="170"/>
      <c r="CD26" s="170"/>
      <c r="CE26" s="170"/>
      <c r="CF26" s="170"/>
      <c r="CG26" s="170"/>
      <c r="CH26" s="170"/>
      <c r="CI26" s="170"/>
      <c r="CJ26" s="170"/>
      <c r="CK26" s="170"/>
      <c r="CL26" s="170"/>
      <c r="CM26" s="170"/>
      <c r="CN26" s="170"/>
      <c r="CO26" s="170"/>
      <c r="CP26" s="170"/>
      <c r="CQ26" s="170"/>
      <c r="CR26" s="170"/>
      <c r="CS26" s="170"/>
      <c r="CT26" s="170"/>
      <c r="CU26" s="170"/>
      <c r="CV26" s="170"/>
      <c r="CW26" s="170"/>
      <c r="CX26" s="170"/>
      <c r="CY26" s="170"/>
    </row>
    <row r="27" spans="1:103" s="171" customFormat="1" ht="24.75" customHeight="1">
      <c r="A27" s="170"/>
      <c r="B27" s="165"/>
      <c r="C27" s="165"/>
      <c r="D27" s="199" t="s">
        <v>96</v>
      </c>
      <c r="E27" s="176"/>
      <c r="F27" s="176"/>
      <c r="G27" s="197"/>
      <c r="H27" s="177"/>
      <c r="I27" s="177"/>
      <c r="J27" s="176"/>
      <c r="K27" s="176"/>
      <c r="L27" s="176"/>
      <c r="M27" s="200"/>
      <c r="N27" s="177"/>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0"/>
      <c r="BY27" s="170"/>
      <c r="BZ27" s="170"/>
      <c r="CA27" s="170"/>
      <c r="CB27" s="170"/>
      <c r="CC27" s="170"/>
      <c r="CD27" s="170"/>
      <c r="CE27" s="170"/>
      <c r="CF27" s="170"/>
      <c r="CG27" s="170"/>
      <c r="CH27" s="170"/>
      <c r="CI27" s="170"/>
      <c r="CJ27" s="170"/>
      <c r="CK27" s="170"/>
      <c r="CL27" s="170"/>
      <c r="CM27" s="170"/>
      <c r="CN27" s="170"/>
      <c r="CO27" s="170"/>
      <c r="CP27" s="170"/>
      <c r="CQ27" s="170"/>
      <c r="CR27" s="170"/>
      <c r="CS27" s="170"/>
      <c r="CT27" s="170"/>
      <c r="CU27" s="170"/>
      <c r="CV27" s="170"/>
      <c r="CW27" s="170"/>
      <c r="CX27" s="170"/>
      <c r="CY27" s="170"/>
    </row>
    <row r="28" spans="1:103" s="171" customFormat="1" ht="15" customHeight="1">
      <c r="A28" s="170"/>
      <c r="B28" s="165"/>
      <c r="C28" s="165"/>
      <c r="D28" s="201" t="s">
        <v>78</v>
      </c>
      <c r="E28" s="176"/>
      <c r="F28" s="176"/>
      <c r="G28" s="197"/>
      <c r="H28" s="177"/>
      <c r="I28" s="177"/>
      <c r="J28" s="176"/>
      <c r="K28" s="176"/>
      <c r="L28" s="176"/>
      <c r="M28" s="200"/>
      <c r="N28" s="177"/>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170"/>
      <c r="BR28" s="170"/>
      <c r="BS28" s="170"/>
      <c r="BT28" s="170"/>
      <c r="BU28" s="170"/>
      <c r="BV28" s="170"/>
      <c r="BW28" s="170"/>
      <c r="BX28" s="170"/>
      <c r="BY28" s="170"/>
      <c r="BZ28" s="170"/>
      <c r="CA28" s="170"/>
      <c r="CB28" s="170"/>
      <c r="CC28" s="170"/>
      <c r="CD28" s="170"/>
      <c r="CE28" s="170"/>
      <c r="CF28" s="170"/>
      <c r="CG28" s="170"/>
      <c r="CH28" s="170"/>
      <c r="CI28" s="170"/>
      <c r="CJ28" s="170"/>
      <c r="CK28" s="170"/>
      <c r="CL28" s="170"/>
      <c r="CM28" s="170"/>
      <c r="CN28" s="170"/>
      <c r="CO28" s="170"/>
      <c r="CP28" s="170"/>
      <c r="CQ28" s="170"/>
      <c r="CR28" s="170"/>
      <c r="CS28" s="170"/>
      <c r="CT28" s="170"/>
      <c r="CU28" s="170"/>
      <c r="CV28" s="170"/>
      <c r="CW28" s="170"/>
      <c r="CX28" s="170"/>
      <c r="CY28" s="170"/>
    </row>
    <row r="29" spans="1:103" s="171" customFormat="1" ht="18" customHeight="1" thickBot="1">
      <c r="A29" s="170"/>
      <c r="B29" s="165"/>
      <c r="C29" s="165"/>
      <c r="D29" s="195"/>
      <c r="E29" s="198"/>
      <c r="F29" s="176"/>
      <c r="G29" s="197"/>
      <c r="H29" s="177"/>
      <c r="I29" s="177"/>
      <c r="J29" s="176"/>
      <c r="K29" s="176"/>
      <c r="L29" s="176"/>
      <c r="M29" s="202"/>
      <c r="N29" s="177"/>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170"/>
      <c r="BI29" s="170"/>
      <c r="BJ29" s="170"/>
      <c r="BK29" s="170"/>
      <c r="BL29" s="170"/>
      <c r="BM29" s="170"/>
      <c r="BN29" s="170"/>
      <c r="BO29" s="170"/>
      <c r="BP29" s="170"/>
      <c r="BQ29" s="170"/>
      <c r="BR29" s="170"/>
      <c r="BS29" s="170"/>
      <c r="BT29" s="170"/>
      <c r="BU29" s="170"/>
      <c r="BV29" s="170"/>
      <c r="BW29" s="170"/>
      <c r="BX29" s="170"/>
      <c r="BY29" s="170"/>
      <c r="BZ29" s="170"/>
      <c r="CA29" s="170"/>
      <c r="CB29" s="170"/>
      <c r="CC29" s="170"/>
      <c r="CD29" s="170"/>
      <c r="CE29" s="170"/>
      <c r="CF29" s="170"/>
      <c r="CG29" s="170"/>
      <c r="CH29" s="170"/>
      <c r="CI29" s="170"/>
      <c r="CJ29" s="170"/>
      <c r="CK29" s="170"/>
      <c r="CL29" s="170"/>
      <c r="CM29" s="170"/>
      <c r="CN29" s="170"/>
      <c r="CO29" s="170"/>
      <c r="CP29" s="170"/>
      <c r="CQ29" s="170"/>
      <c r="CR29" s="170"/>
      <c r="CS29" s="170"/>
      <c r="CT29" s="170"/>
      <c r="CU29" s="170"/>
      <c r="CV29" s="170"/>
      <c r="CW29" s="170"/>
      <c r="CX29" s="170"/>
      <c r="CY29" s="170"/>
    </row>
    <row r="30" spans="1:103" s="171" customFormat="1" ht="18" customHeight="1" thickBot="1">
      <c r="A30" s="170"/>
      <c r="B30" s="165"/>
      <c r="C30" s="165"/>
      <c r="D30" s="191" t="s">
        <v>79</v>
      </c>
      <c r="E30" s="203" t="s">
        <v>61</v>
      </c>
      <c r="F30" s="176"/>
      <c r="G30" s="151"/>
      <c r="H30" s="177"/>
      <c r="I30" s="177"/>
      <c r="J30" s="176"/>
      <c r="K30" s="176"/>
      <c r="L30" s="193">
        <f>(G30-(G30*Table_Company_Tax_Rate))/12</f>
        <v>0</v>
      </c>
      <c r="M30" s="194"/>
      <c r="N30" s="177"/>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70"/>
      <c r="BK30" s="170"/>
      <c r="BL30" s="170"/>
      <c r="BM30" s="170"/>
      <c r="BN30" s="170"/>
      <c r="BO30" s="170"/>
      <c r="BP30" s="170"/>
      <c r="BQ30" s="170"/>
      <c r="BR30" s="170"/>
      <c r="BS30" s="170"/>
      <c r="BT30" s="170"/>
      <c r="BU30" s="170"/>
      <c r="BV30" s="170"/>
      <c r="BW30" s="170"/>
      <c r="BX30" s="170"/>
      <c r="BY30" s="170"/>
      <c r="BZ30" s="170"/>
      <c r="CA30" s="170"/>
      <c r="CB30" s="170"/>
      <c r="CC30" s="170"/>
      <c r="CD30" s="170"/>
      <c r="CE30" s="170"/>
      <c r="CF30" s="170"/>
      <c r="CG30" s="170"/>
      <c r="CH30" s="170"/>
      <c r="CI30" s="170"/>
      <c r="CJ30" s="170"/>
      <c r="CK30" s="170"/>
      <c r="CL30" s="170"/>
      <c r="CM30" s="170"/>
      <c r="CN30" s="170"/>
      <c r="CO30" s="170"/>
      <c r="CP30" s="170"/>
      <c r="CQ30" s="170"/>
      <c r="CR30" s="170"/>
      <c r="CS30" s="170"/>
      <c r="CT30" s="170"/>
      <c r="CU30" s="170"/>
      <c r="CV30" s="170"/>
      <c r="CW30" s="170"/>
      <c r="CX30" s="170"/>
      <c r="CY30" s="170"/>
    </row>
    <row r="31" spans="1:103" s="171" customFormat="1" ht="18" customHeight="1">
      <c r="A31" s="170"/>
      <c r="B31" s="165"/>
      <c r="C31" s="165"/>
      <c r="D31" s="403">
        <f>IF(G30 &lt;&gt; 0, "Only NPBT from the borrowing Company entity can be entered in this field. Other related company NPBT needs to be allocated to the director(s)/guarantor(s)", 0)</f>
        <v>0</v>
      </c>
      <c r="E31" s="404"/>
      <c r="F31" s="404"/>
      <c r="G31" s="404"/>
      <c r="H31" s="404"/>
      <c r="I31" s="404"/>
      <c r="J31" s="404"/>
      <c r="K31" s="404"/>
      <c r="L31" s="404"/>
      <c r="M31" s="194"/>
      <c r="N31" s="177"/>
      <c r="O31" s="204"/>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170"/>
      <c r="BQ31" s="170"/>
      <c r="BR31" s="170"/>
      <c r="BS31" s="170"/>
      <c r="BT31" s="170"/>
      <c r="BU31" s="170"/>
      <c r="BV31" s="170"/>
      <c r="BW31" s="170"/>
      <c r="BX31" s="170"/>
      <c r="BY31" s="170"/>
      <c r="BZ31" s="170"/>
      <c r="CA31" s="170"/>
      <c r="CB31" s="170"/>
      <c r="CC31" s="170"/>
      <c r="CD31" s="170"/>
      <c r="CE31" s="170"/>
      <c r="CF31" s="170"/>
      <c r="CG31" s="170"/>
      <c r="CH31" s="170"/>
      <c r="CI31" s="170"/>
      <c r="CJ31" s="170"/>
      <c r="CK31" s="170"/>
      <c r="CL31" s="170"/>
      <c r="CM31" s="170"/>
      <c r="CN31" s="170"/>
      <c r="CO31" s="170"/>
      <c r="CP31" s="170"/>
      <c r="CQ31" s="170"/>
      <c r="CR31" s="170"/>
      <c r="CS31" s="170"/>
      <c r="CT31" s="170"/>
      <c r="CU31" s="170"/>
      <c r="CV31" s="170"/>
      <c r="CW31" s="170"/>
      <c r="CX31" s="170"/>
      <c r="CY31" s="170"/>
    </row>
    <row r="32" spans="1:103" s="171" customFormat="1" ht="21" customHeight="1">
      <c r="A32" s="170"/>
      <c r="B32" s="165"/>
      <c r="C32" s="165"/>
      <c r="D32" s="205" t="s">
        <v>6</v>
      </c>
      <c r="E32" s="206"/>
      <c r="F32" s="206"/>
      <c r="G32" s="206"/>
      <c r="H32" s="207"/>
      <c r="I32" s="207"/>
      <c r="J32" s="206"/>
      <c r="K32" s="206"/>
      <c r="L32" s="208">
        <f>SUM(L13,L14,L15,L16,L19,L20,L21,L22,L24,L25,L30)</f>
        <v>15187.228749999998</v>
      </c>
      <c r="M32" s="209"/>
      <c r="N32" s="177"/>
      <c r="O32" s="170"/>
      <c r="P32" s="21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S32" s="170"/>
      <c r="BT32" s="170"/>
      <c r="BU32" s="170"/>
      <c r="BV32" s="170"/>
      <c r="BW32" s="170"/>
      <c r="BX32" s="170"/>
      <c r="BY32" s="170"/>
      <c r="BZ32" s="170"/>
      <c r="CA32" s="170"/>
      <c r="CB32" s="170"/>
      <c r="CC32" s="170"/>
      <c r="CD32" s="170"/>
      <c r="CE32" s="170"/>
      <c r="CF32" s="170"/>
      <c r="CG32" s="170"/>
      <c r="CH32" s="170"/>
      <c r="CI32" s="170"/>
      <c r="CJ32" s="170"/>
      <c r="CK32" s="170"/>
      <c r="CL32" s="170"/>
      <c r="CM32" s="170"/>
      <c r="CN32" s="170"/>
      <c r="CO32" s="170"/>
      <c r="CP32" s="170"/>
      <c r="CQ32" s="170"/>
      <c r="CR32" s="170"/>
      <c r="CS32" s="170"/>
      <c r="CT32" s="170"/>
      <c r="CU32" s="170"/>
      <c r="CV32" s="170"/>
      <c r="CW32" s="170"/>
      <c r="CX32" s="170"/>
      <c r="CY32" s="170"/>
    </row>
    <row r="33" spans="1:103" s="171" customFormat="1" ht="16.5" customHeight="1" thickBot="1">
      <c r="A33" s="170"/>
      <c r="B33" s="165"/>
      <c r="C33" s="165"/>
      <c r="D33" s="211"/>
      <c r="E33" s="212"/>
      <c r="F33" s="212"/>
      <c r="G33" s="212"/>
      <c r="H33" s="213"/>
      <c r="I33" s="213"/>
      <c r="J33" s="212"/>
      <c r="K33" s="212"/>
      <c r="L33" s="212"/>
      <c r="M33" s="214"/>
      <c r="N33" s="215"/>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c r="BS33" s="170"/>
      <c r="BT33" s="170"/>
      <c r="BU33" s="170"/>
      <c r="BV33" s="170"/>
      <c r="BW33" s="170"/>
      <c r="BX33" s="170"/>
      <c r="BY33" s="170"/>
      <c r="BZ33" s="170"/>
      <c r="CA33" s="170"/>
      <c r="CB33" s="170"/>
      <c r="CC33" s="170"/>
      <c r="CD33" s="170"/>
      <c r="CE33" s="170"/>
      <c r="CF33" s="170"/>
      <c r="CG33" s="170"/>
      <c r="CH33" s="170"/>
      <c r="CI33" s="170"/>
      <c r="CJ33" s="170"/>
      <c r="CK33" s="170"/>
      <c r="CL33" s="170"/>
      <c r="CM33" s="170"/>
      <c r="CN33" s="170"/>
      <c r="CO33" s="170"/>
      <c r="CP33" s="170"/>
      <c r="CQ33" s="170"/>
      <c r="CR33" s="170"/>
      <c r="CS33" s="170"/>
      <c r="CT33" s="170"/>
      <c r="CU33" s="170"/>
      <c r="CV33" s="170"/>
      <c r="CW33" s="170"/>
      <c r="CX33" s="170"/>
      <c r="CY33" s="170"/>
    </row>
    <row r="34" spans="1:103" s="171" customFormat="1" ht="16.5" customHeight="1" thickTop="1">
      <c r="A34" s="170"/>
      <c r="B34" s="165"/>
      <c r="C34" s="165"/>
      <c r="D34" s="176"/>
      <c r="E34" s="176"/>
      <c r="F34" s="176"/>
      <c r="G34" s="176"/>
      <c r="H34" s="177"/>
      <c r="I34" s="177"/>
      <c r="J34" s="176"/>
      <c r="K34" s="176"/>
      <c r="L34" s="176"/>
      <c r="M34" s="188"/>
      <c r="N34" s="177"/>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0"/>
      <c r="BY34" s="170"/>
      <c r="BZ34" s="170"/>
      <c r="CA34" s="170"/>
      <c r="CB34" s="170"/>
      <c r="CC34" s="170"/>
      <c r="CD34" s="170"/>
      <c r="CE34" s="170"/>
      <c r="CF34" s="170"/>
      <c r="CG34" s="170"/>
      <c r="CH34" s="170"/>
      <c r="CI34" s="170"/>
      <c r="CJ34" s="170"/>
      <c r="CK34" s="170"/>
      <c r="CL34" s="170"/>
      <c r="CM34" s="170"/>
      <c r="CN34" s="170"/>
      <c r="CO34" s="170"/>
      <c r="CP34" s="170"/>
      <c r="CQ34" s="170"/>
      <c r="CR34" s="170"/>
      <c r="CS34" s="170"/>
      <c r="CT34" s="170"/>
      <c r="CU34" s="170"/>
      <c r="CV34" s="170"/>
      <c r="CW34" s="170"/>
      <c r="CX34" s="170"/>
      <c r="CY34" s="170"/>
    </row>
    <row r="35" spans="1:103" s="171" customFormat="1" ht="33.75" customHeight="1">
      <c r="A35" s="170"/>
      <c r="B35" s="165"/>
      <c r="C35" s="165"/>
      <c r="D35" s="178" t="s">
        <v>62</v>
      </c>
      <c r="E35" s="179"/>
      <c r="F35" s="179"/>
      <c r="G35" s="178"/>
      <c r="H35" s="180"/>
      <c r="I35" s="180"/>
      <c r="J35" s="178"/>
      <c r="K35" s="178"/>
      <c r="L35" s="181"/>
      <c r="M35" s="216"/>
      <c r="N35" s="215"/>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0"/>
      <c r="BQ35" s="170"/>
      <c r="BR35" s="170"/>
      <c r="BS35" s="170"/>
      <c r="BT35" s="170"/>
      <c r="BU35" s="170"/>
      <c r="BV35" s="170"/>
      <c r="BW35" s="170"/>
      <c r="BX35" s="170"/>
      <c r="BY35" s="170"/>
      <c r="BZ35" s="170"/>
      <c r="CA35" s="170"/>
      <c r="CB35" s="170"/>
      <c r="CC35" s="170"/>
      <c r="CD35" s="170"/>
      <c r="CE35" s="170"/>
      <c r="CF35" s="170"/>
      <c r="CG35" s="170"/>
      <c r="CH35" s="170"/>
      <c r="CI35" s="170"/>
      <c r="CJ35" s="170"/>
      <c r="CK35" s="170"/>
      <c r="CL35" s="170"/>
      <c r="CM35" s="170"/>
      <c r="CN35" s="170"/>
      <c r="CO35" s="170"/>
      <c r="CP35" s="170"/>
      <c r="CQ35" s="170"/>
      <c r="CR35" s="170"/>
      <c r="CS35" s="170"/>
      <c r="CT35" s="170"/>
      <c r="CU35" s="170"/>
      <c r="CV35" s="170"/>
      <c r="CW35" s="170"/>
      <c r="CX35" s="170"/>
      <c r="CY35" s="170"/>
    </row>
    <row r="36" spans="1:103" s="171" customFormat="1" ht="3.9" customHeight="1" thickBot="1">
      <c r="A36" s="170"/>
      <c r="B36" s="165"/>
      <c r="C36" s="165"/>
      <c r="D36" s="165"/>
      <c r="E36" s="165"/>
      <c r="F36" s="165"/>
      <c r="G36" s="165"/>
      <c r="H36" s="165"/>
      <c r="I36" s="165"/>
      <c r="J36" s="165"/>
      <c r="K36" s="165"/>
      <c r="L36" s="165"/>
      <c r="M36" s="165"/>
      <c r="N36" s="215"/>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0"/>
      <c r="BQ36" s="170"/>
      <c r="BR36" s="170"/>
      <c r="BS36" s="170"/>
      <c r="BT36" s="170"/>
      <c r="BU36" s="170"/>
      <c r="BV36" s="170"/>
      <c r="BW36" s="170"/>
      <c r="BX36" s="170"/>
      <c r="BY36" s="170"/>
      <c r="BZ36" s="170"/>
      <c r="CA36" s="170"/>
      <c r="CB36" s="170"/>
      <c r="CC36" s="170"/>
      <c r="CD36" s="170"/>
      <c r="CE36" s="170"/>
      <c r="CF36" s="170"/>
      <c r="CG36" s="170"/>
      <c r="CH36" s="170"/>
      <c r="CI36" s="170"/>
      <c r="CJ36" s="170"/>
      <c r="CK36" s="170"/>
      <c r="CL36" s="170"/>
      <c r="CM36" s="170"/>
      <c r="CN36" s="170"/>
      <c r="CO36" s="170"/>
      <c r="CP36" s="170"/>
      <c r="CQ36" s="170"/>
      <c r="CR36" s="170"/>
      <c r="CS36" s="170"/>
      <c r="CT36" s="170"/>
      <c r="CU36" s="170"/>
      <c r="CV36" s="170"/>
      <c r="CW36" s="170"/>
      <c r="CX36" s="170"/>
      <c r="CY36" s="170"/>
    </row>
    <row r="37" spans="1:103" s="171" customFormat="1" ht="24.75" customHeight="1" thickBot="1">
      <c r="A37" s="170"/>
      <c r="B37" s="165"/>
      <c r="C37" s="217"/>
      <c r="D37" s="218" t="s">
        <v>63</v>
      </c>
      <c r="E37" s="219"/>
      <c r="F37" s="219"/>
      <c r="G37" s="219"/>
      <c r="H37" s="220"/>
      <c r="I37" s="220"/>
      <c r="J37" s="219"/>
      <c r="K37" s="219"/>
      <c r="L37" s="219"/>
      <c r="M37" s="221"/>
      <c r="N37" s="215"/>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70"/>
      <c r="BU37" s="170"/>
      <c r="BV37" s="170"/>
      <c r="BW37" s="170"/>
      <c r="BX37" s="170"/>
      <c r="BY37" s="170"/>
      <c r="BZ37" s="170"/>
      <c r="CA37" s="170"/>
      <c r="CB37" s="170"/>
      <c r="CC37" s="170"/>
      <c r="CD37" s="170"/>
      <c r="CE37" s="170"/>
      <c r="CF37" s="170"/>
      <c r="CG37" s="170"/>
      <c r="CH37" s="170"/>
      <c r="CI37" s="170"/>
      <c r="CJ37" s="170"/>
      <c r="CK37" s="170"/>
      <c r="CL37" s="170"/>
      <c r="CM37" s="170"/>
      <c r="CN37" s="170"/>
      <c r="CO37" s="170"/>
      <c r="CP37" s="170"/>
      <c r="CQ37" s="170"/>
      <c r="CR37" s="170"/>
      <c r="CS37" s="170"/>
      <c r="CT37" s="170"/>
      <c r="CU37" s="170"/>
      <c r="CV37" s="170"/>
      <c r="CW37" s="170"/>
      <c r="CX37" s="170"/>
      <c r="CY37" s="170"/>
    </row>
    <row r="38" spans="1:103" s="171" customFormat="1" ht="18" customHeight="1" thickBot="1">
      <c r="A38" s="170"/>
      <c r="B38" s="165"/>
      <c r="C38" s="217"/>
      <c r="D38" s="222" t="s">
        <v>64</v>
      </c>
      <c r="E38" s="176"/>
      <c r="F38" s="176"/>
      <c r="G38" s="151"/>
      <c r="H38" s="177"/>
      <c r="I38" s="177"/>
      <c r="J38" s="176"/>
      <c r="K38" s="176"/>
      <c r="L38" s="176"/>
      <c r="M38" s="223"/>
      <c r="N38" s="215"/>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0"/>
      <c r="BQ38" s="170"/>
      <c r="BR38" s="170"/>
      <c r="BS38" s="170"/>
      <c r="BT38" s="170"/>
      <c r="BU38" s="170"/>
      <c r="BV38" s="170"/>
      <c r="BW38" s="170"/>
      <c r="BX38" s="170"/>
      <c r="BY38" s="170"/>
      <c r="BZ38" s="170"/>
      <c r="CA38" s="170"/>
      <c r="CB38" s="170"/>
      <c r="CC38" s="170"/>
      <c r="CD38" s="170"/>
      <c r="CE38" s="170"/>
      <c r="CF38" s="170"/>
      <c r="CG38" s="170"/>
      <c r="CH38" s="170"/>
      <c r="CI38" s="170"/>
      <c r="CJ38" s="170"/>
      <c r="CK38" s="170"/>
      <c r="CL38" s="170"/>
      <c r="CM38" s="170"/>
      <c r="CN38" s="170"/>
      <c r="CO38" s="170"/>
      <c r="CP38" s="170"/>
      <c r="CQ38" s="170"/>
      <c r="CR38" s="170"/>
      <c r="CS38" s="170"/>
      <c r="CT38" s="170"/>
      <c r="CU38" s="170"/>
      <c r="CV38" s="170"/>
      <c r="CW38" s="170"/>
      <c r="CX38" s="170"/>
      <c r="CY38" s="170"/>
    </row>
    <row r="39" spans="1:103" s="171" customFormat="1" ht="22.8">
      <c r="A39" s="170"/>
      <c r="B39" s="165"/>
      <c r="C39" s="217"/>
      <c r="D39" s="222"/>
      <c r="E39" s="176"/>
      <c r="F39" s="176"/>
      <c r="G39" s="197"/>
      <c r="H39" s="177"/>
      <c r="I39" s="177"/>
      <c r="J39" s="176"/>
      <c r="K39" s="176"/>
      <c r="L39" s="176"/>
      <c r="M39" s="223"/>
      <c r="N39" s="215"/>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0"/>
      <c r="BQ39" s="170"/>
      <c r="BR39" s="170"/>
      <c r="BS39" s="170"/>
      <c r="BT39" s="170"/>
      <c r="BU39" s="170"/>
      <c r="BV39" s="170"/>
      <c r="BW39" s="170"/>
      <c r="BX39" s="170"/>
      <c r="BY39" s="170"/>
      <c r="BZ39" s="170"/>
      <c r="CA39" s="170"/>
      <c r="CB39" s="170"/>
      <c r="CC39" s="170"/>
      <c r="CD39" s="170"/>
      <c r="CE39" s="170"/>
      <c r="CF39" s="170"/>
      <c r="CG39" s="170"/>
      <c r="CH39" s="170"/>
      <c r="CI39" s="170"/>
      <c r="CJ39" s="170"/>
      <c r="CK39" s="170"/>
      <c r="CL39" s="170"/>
      <c r="CM39" s="170"/>
      <c r="CN39" s="170"/>
      <c r="CO39" s="170"/>
      <c r="CP39" s="170"/>
      <c r="CQ39" s="170"/>
      <c r="CR39" s="170"/>
      <c r="CS39" s="170"/>
      <c r="CT39" s="170"/>
      <c r="CU39" s="170"/>
      <c r="CV39" s="170"/>
      <c r="CW39" s="170"/>
      <c r="CX39" s="170"/>
      <c r="CY39" s="170"/>
    </row>
    <row r="40" spans="1:103" s="171" customFormat="1" ht="24.75" customHeight="1" thickBot="1">
      <c r="A40" s="170"/>
      <c r="B40" s="165"/>
      <c r="C40" s="217"/>
      <c r="D40" s="224" t="s">
        <v>65</v>
      </c>
      <c r="E40" s="176"/>
      <c r="F40" s="294" t="s">
        <v>283</v>
      </c>
      <c r="G40" s="176"/>
      <c r="H40" s="177"/>
      <c r="I40" s="177"/>
      <c r="J40" s="176"/>
      <c r="K40" s="176"/>
      <c r="L40" s="176"/>
      <c r="M40" s="223"/>
      <c r="N40" s="215"/>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0"/>
      <c r="BQ40" s="170"/>
      <c r="BR40" s="170"/>
      <c r="BS40" s="170"/>
      <c r="BT40" s="170"/>
      <c r="BU40" s="170"/>
      <c r="BV40" s="170"/>
      <c r="BW40" s="170"/>
      <c r="BX40" s="170"/>
      <c r="BY40" s="170"/>
      <c r="BZ40" s="170"/>
      <c r="CA40" s="170"/>
      <c r="CB40" s="170"/>
      <c r="CC40" s="170"/>
      <c r="CD40" s="170"/>
      <c r="CE40" s="170"/>
      <c r="CF40" s="170"/>
      <c r="CG40" s="170"/>
      <c r="CH40" s="170"/>
      <c r="CI40" s="170"/>
      <c r="CJ40" s="170"/>
      <c r="CK40" s="170"/>
      <c r="CL40" s="170"/>
      <c r="CM40" s="170"/>
      <c r="CN40" s="170"/>
      <c r="CO40" s="170"/>
      <c r="CP40" s="170"/>
      <c r="CQ40" s="170"/>
      <c r="CR40" s="170"/>
      <c r="CS40" s="170"/>
      <c r="CT40" s="170"/>
      <c r="CU40" s="170"/>
      <c r="CV40" s="170"/>
      <c r="CW40" s="170"/>
      <c r="CX40" s="170"/>
      <c r="CY40" s="170"/>
    </row>
    <row r="41" spans="1:103" s="171" customFormat="1" ht="18" customHeight="1">
      <c r="A41" s="170"/>
      <c r="B41" s="165"/>
      <c r="C41" s="217"/>
      <c r="D41" s="222" t="s">
        <v>66</v>
      </c>
      <c r="E41" s="176"/>
      <c r="F41" s="298" t="s">
        <v>250</v>
      </c>
      <c r="G41" s="152">
        <v>1</v>
      </c>
      <c r="H41" s="400" t="str">
        <f>Tables!E82</f>
        <v xml:space="preserve"> </v>
      </c>
      <c r="I41" s="401"/>
      <c r="J41" s="401"/>
      <c r="K41" s="401"/>
      <c r="L41" s="401"/>
      <c r="M41" s="402"/>
      <c r="N41" s="215"/>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0"/>
      <c r="BQ41" s="170"/>
      <c r="BR41" s="170"/>
      <c r="BS41" s="170"/>
      <c r="BT41" s="170"/>
      <c r="BU41" s="170"/>
      <c r="BV41" s="170"/>
      <c r="BW41" s="170"/>
      <c r="BX41" s="170"/>
      <c r="BY41" s="170"/>
      <c r="BZ41" s="170"/>
      <c r="CA41" s="170"/>
      <c r="CB41" s="170"/>
      <c r="CC41" s="170"/>
      <c r="CD41" s="170"/>
      <c r="CE41" s="170"/>
      <c r="CF41" s="170"/>
      <c r="CG41" s="170"/>
      <c r="CH41" s="170"/>
      <c r="CI41" s="170"/>
      <c r="CJ41" s="170"/>
      <c r="CK41" s="170"/>
      <c r="CL41" s="170"/>
      <c r="CM41" s="170"/>
      <c r="CN41" s="170"/>
      <c r="CO41" s="170"/>
      <c r="CP41" s="170"/>
      <c r="CQ41" s="170"/>
      <c r="CR41" s="170"/>
      <c r="CS41" s="170"/>
      <c r="CT41" s="170"/>
      <c r="CU41" s="170"/>
      <c r="CV41" s="170"/>
      <c r="CW41" s="170"/>
      <c r="CX41" s="170"/>
      <c r="CY41" s="170"/>
    </row>
    <row r="42" spans="1:103" s="171" customFormat="1" ht="18" customHeight="1">
      <c r="A42" s="170"/>
      <c r="B42" s="165"/>
      <c r="C42" s="217"/>
      <c r="D42" s="222" t="s">
        <v>67</v>
      </c>
      <c r="E42" s="176"/>
      <c r="F42" s="299" t="s">
        <v>250</v>
      </c>
      <c r="G42" s="153">
        <v>2</v>
      </c>
      <c r="H42" s="177"/>
      <c r="I42" s="177"/>
      <c r="J42" s="176"/>
      <c r="K42" s="176"/>
      <c r="L42" s="278"/>
      <c r="M42" s="223"/>
      <c r="N42" s="215"/>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70"/>
      <c r="CE42" s="170"/>
      <c r="CF42" s="170"/>
      <c r="CG42" s="170"/>
      <c r="CH42" s="170"/>
      <c r="CI42" s="170"/>
      <c r="CJ42" s="170"/>
      <c r="CK42" s="170"/>
      <c r="CL42" s="170"/>
      <c r="CM42" s="170"/>
      <c r="CN42" s="170"/>
      <c r="CO42" s="170"/>
      <c r="CP42" s="170"/>
      <c r="CQ42" s="170"/>
      <c r="CR42" s="170"/>
      <c r="CS42" s="170"/>
      <c r="CT42" s="170"/>
      <c r="CU42" s="170"/>
      <c r="CV42" s="170"/>
      <c r="CW42" s="170"/>
      <c r="CX42" s="170"/>
      <c r="CY42" s="170"/>
    </row>
    <row r="43" spans="1:103" s="171" customFormat="1" ht="18" customHeight="1">
      <c r="A43" s="170"/>
      <c r="B43" s="165"/>
      <c r="C43" s="217"/>
      <c r="D43" s="222" t="s">
        <v>68</v>
      </c>
      <c r="E43" s="176"/>
      <c r="F43" s="299" t="s">
        <v>251</v>
      </c>
      <c r="G43" s="153">
        <v>2</v>
      </c>
      <c r="H43" s="400" t="str">
        <f>Tables!E83</f>
        <v xml:space="preserve"> </v>
      </c>
      <c r="I43" s="401"/>
      <c r="J43" s="401"/>
      <c r="K43" s="401"/>
      <c r="L43" s="401"/>
      <c r="M43" s="402"/>
      <c r="N43" s="215"/>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c r="BK43" s="170"/>
      <c r="BL43" s="170"/>
      <c r="BM43" s="170"/>
      <c r="BN43" s="170"/>
      <c r="BO43" s="170"/>
      <c r="BP43" s="170"/>
      <c r="BQ43" s="170"/>
      <c r="BR43" s="170"/>
      <c r="BS43" s="170"/>
      <c r="BT43" s="170"/>
      <c r="BU43" s="170"/>
      <c r="BV43" s="170"/>
      <c r="BW43" s="170"/>
      <c r="BX43" s="170"/>
      <c r="BY43" s="170"/>
      <c r="BZ43" s="170"/>
      <c r="CA43" s="170"/>
      <c r="CB43" s="170"/>
      <c r="CC43" s="170"/>
      <c r="CD43" s="170"/>
      <c r="CE43" s="170"/>
      <c r="CF43" s="170"/>
      <c r="CG43" s="170"/>
      <c r="CH43" s="170"/>
      <c r="CI43" s="170"/>
      <c r="CJ43" s="170"/>
      <c r="CK43" s="170"/>
      <c r="CL43" s="170"/>
      <c r="CM43" s="170"/>
      <c r="CN43" s="170"/>
      <c r="CO43" s="170"/>
      <c r="CP43" s="170"/>
      <c r="CQ43" s="170"/>
      <c r="CR43" s="170"/>
      <c r="CS43" s="170"/>
      <c r="CT43" s="170"/>
      <c r="CU43" s="170"/>
      <c r="CV43" s="170"/>
      <c r="CW43" s="170"/>
      <c r="CX43" s="170"/>
      <c r="CY43" s="170"/>
    </row>
    <row r="44" spans="1:103" s="171" customFormat="1" ht="18" customHeight="1" thickBot="1">
      <c r="A44" s="170"/>
      <c r="B44" s="165"/>
      <c r="C44" s="217"/>
      <c r="D44" s="222" t="s">
        <v>69</v>
      </c>
      <c r="E44" s="176"/>
      <c r="F44" s="299" t="s">
        <v>251</v>
      </c>
      <c r="G44" s="154">
        <v>3</v>
      </c>
      <c r="H44" s="177"/>
      <c r="I44" s="177"/>
      <c r="J44" s="176"/>
      <c r="K44" s="176"/>
      <c r="L44" s="278"/>
      <c r="M44" s="223"/>
      <c r="N44" s="215"/>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170"/>
      <c r="BX44" s="170"/>
      <c r="BY44" s="170"/>
      <c r="BZ44" s="170"/>
      <c r="CA44" s="170"/>
      <c r="CB44" s="170"/>
      <c r="CC44" s="170"/>
      <c r="CD44" s="170"/>
      <c r="CE44" s="170"/>
      <c r="CF44" s="170"/>
      <c r="CG44" s="170"/>
      <c r="CH44" s="170"/>
      <c r="CI44" s="170"/>
      <c r="CJ44" s="170"/>
      <c r="CK44" s="170"/>
      <c r="CL44" s="170"/>
      <c r="CM44" s="170"/>
      <c r="CN44" s="170"/>
      <c r="CO44" s="170"/>
      <c r="CP44" s="170"/>
      <c r="CQ44" s="170"/>
      <c r="CR44" s="170"/>
      <c r="CS44" s="170"/>
      <c r="CT44" s="170"/>
      <c r="CU44" s="170"/>
      <c r="CV44" s="170"/>
      <c r="CW44" s="170"/>
      <c r="CX44" s="170"/>
      <c r="CY44" s="170"/>
    </row>
    <row r="45" spans="1:103" s="171" customFormat="1" ht="16.5" customHeight="1">
      <c r="A45" s="170"/>
      <c r="B45" s="165"/>
      <c r="C45" s="217"/>
      <c r="D45" s="225"/>
      <c r="E45" s="176"/>
      <c r="F45" s="219"/>
      <c r="G45" s="226"/>
      <c r="H45" s="177"/>
      <c r="I45" s="177"/>
      <c r="J45" s="176"/>
      <c r="K45" s="176"/>
      <c r="L45" s="227"/>
      <c r="M45" s="223"/>
      <c r="N45" s="215"/>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0"/>
      <c r="BQ45" s="170"/>
      <c r="BR45" s="170"/>
      <c r="BS45" s="170"/>
      <c r="BT45" s="170"/>
      <c r="BU45" s="170"/>
      <c r="BV45" s="170"/>
      <c r="BW45" s="170"/>
      <c r="BX45" s="170"/>
      <c r="BY45" s="170"/>
      <c r="BZ45" s="170"/>
      <c r="CA45" s="170"/>
      <c r="CB45" s="170"/>
      <c r="CC45" s="170"/>
      <c r="CD45" s="170"/>
      <c r="CE45" s="170"/>
      <c r="CF45" s="170"/>
      <c r="CG45" s="170"/>
      <c r="CH45" s="170"/>
      <c r="CI45" s="170"/>
      <c r="CJ45" s="170"/>
      <c r="CK45" s="170"/>
      <c r="CL45" s="170"/>
      <c r="CM45" s="170"/>
      <c r="CN45" s="170"/>
      <c r="CO45" s="170"/>
      <c r="CP45" s="170"/>
      <c r="CQ45" s="170"/>
      <c r="CR45" s="170"/>
      <c r="CS45" s="170"/>
      <c r="CT45" s="170"/>
      <c r="CU45" s="170"/>
      <c r="CV45" s="170"/>
      <c r="CW45" s="170"/>
      <c r="CX45" s="170"/>
      <c r="CY45" s="170"/>
    </row>
    <row r="46" spans="1:103" s="171" customFormat="1" ht="21" hidden="1" customHeight="1">
      <c r="A46" s="170"/>
      <c r="B46" s="165"/>
      <c r="C46" s="217"/>
      <c r="D46" s="205" t="s">
        <v>70</v>
      </c>
      <c r="E46" s="206"/>
      <c r="F46" s="206"/>
      <c r="G46" s="206"/>
      <c r="H46" s="207"/>
      <c r="I46" s="207"/>
      <c r="J46" s="206"/>
      <c r="K46" s="206"/>
      <c r="L46" s="208">
        <f>MAX(SUM(L41:L44),G38)</f>
        <v>0</v>
      </c>
      <c r="M46" s="228"/>
      <c r="N46" s="215"/>
      <c r="O46" s="170"/>
      <c r="P46" s="21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0"/>
      <c r="BX46" s="170"/>
      <c r="BY46" s="170"/>
      <c r="BZ46" s="170"/>
      <c r="CA46" s="170"/>
      <c r="CB46" s="170"/>
      <c r="CC46" s="170"/>
      <c r="CD46" s="170"/>
      <c r="CE46" s="170"/>
      <c r="CF46" s="170"/>
      <c r="CG46" s="170"/>
      <c r="CH46" s="170"/>
      <c r="CI46" s="170"/>
      <c r="CJ46" s="170"/>
      <c r="CK46" s="170"/>
      <c r="CL46" s="170"/>
      <c r="CM46" s="170"/>
      <c r="CN46" s="170"/>
      <c r="CO46" s="170"/>
      <c r="CP46" s="170"/>
      <c r="CQ46" s="170"/>
      <c r="CR46" s="170"/>
      <c r="CS46" s="170"/>
      <c r="CT46" s="170"/>
      <c r="CU46" s="170"/>
      <c r="CV46" s="170"/>
      <c r="CW46" s="170"/>
      <c r="CX46" s="170"/>
      <c r="CY46" s="170"/>
    </row>
    <row r="47" spans="1:103" s="171" customFormat="1" ht="16.5" customHeight="1" thickBot="1">
      <c r="A47" s="170"/>
      <c r="B47" s="165"/>
      <c r="C47" s="217"/>
      <c r="D47" s="229"/>
      <c r="E47" s="230"/>
      <c r="F47" s="230"/>
      <c r="G47" s="231"/>
      <c r="H47" s="232"/>
      <c r="I47" s="232"/>
      <c r="J47" s="230"/>
      <c r="K47" s="230"/>
      <c r="L47" s="233"/>
      <c r="M47" s="234"/>
      <c r="N47" s="215"/>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0"/>
      <c r="BQ47" s="170"/>
      <c r="BR47" s="170"/>
      <c r="BS47" s="170"/>
      <c r="BT47" s="170"/>
      <c r="BU47" s="170"/>
      <c r="BV47" s="170"/>
      <c r="BW47" s="170"/>
      <c r="BX47" s="170"/>
      <c r="BY47" s="170"/>
      <c r="BZ47" s="170"/>
      <c r="CA47" s="170"/>
      <c r="CB47" s="170"/>
      <c r="CC47" s="170"/>
      <c r="CD47" s="170"/>
      <c r="CE47" s="170"/>
      <c r="CF47" s="170"/>
      <c r="CG47" s="170"/>
      <c r="CH47" s="170"/>
      <c r="CI47" s="170"/>
      <c r="CJ47" s="170"/>
      <c r="CK47" s="170"/>
      <c r="CL47" s="170"/>
      <c r="CM47" s="170"/>
      <c r="CN47" s="170"/>
      <c r="CO47" s="170"/>
      <c r="CP47" s="170"/>
      <c r="CQ47" s="170"/>
      <c r="CR47" s="170"/>
      <c r="CS47" s="170"/>
      <c r="CT47" s="170"/>
      <c r="CU47" s="170"/>
      <c r="CV47" s="170"/>
      <c r="CW47" s="170"/>
      <c r="CX47" s="170"/>
      <c r="CY47" s="170"/>
    </row>
    <row r="48" spans="1:103" s="171" customFormat="1" ht="16.5" customHeight="1">
      <c r="A48" s="170"/>
      <c r="B48" s="165"/>
      <c r="C48" s="217"/>
      <c r="D48" s="176"/>
      <c r="E48" s="176"/>
      <c r="F48" s="176"/>
      <c r="G48" s="176"/>
      <c r="H48" s="177"/>
      <c r="I48" s="177"/>
      <c r="J48" s="176"/>
      <c r="K48" s="176"/>
      <c r="L48" s="176"/>
      <c r="M48" s="176"/>
      <c r="N48" s="177"/>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c r="BQ48" s="170"/>
      <c r="BR48" s="170"/>
      <c r="BS48" s="170"/>
      <c r="BT48" s="170"/>
      <c r="BU48" s="170"/>
      <c r="BV48" s="170"/>
      <c r="BW48" s="170"/>
      <c r="BX48" s="170"/>
      <c r="BY48" s="170"/>
      <c r="BZ48" s="170"/>
      <c r="CA48" s="170"/>
      <c r="CB48" s="170"/>
      <c r="CC48" s="170"/>
      <c r="CD48" s="170"/>
      <c r="CE48" s="170"/>
      <c r="CF48" s="170"/>
      <c r="CG48" s="170"/>
      <c r="CH48" s="170"/>
      <c r="CI48" s="170"/>
      <c r="CJ48" s="170"/>
      <c r="CK48" s="170"/>
      <c r="CL48" s="170"/>
      <c r="CM48" s="170"/>
      <c r="CN48" s="170"/>
      <c r="CO48" s="170"/>
      <c r="CP48" s="170"/>
      <c r="CQ48" s="170"/>
      <c r="CR48" s="170"/>
      <c r="CS48" s="170"/>
      <c r="CT48" s="170"/>
      <c r="CU48" s="170"/>
      <c r="CV48" s="170"/>
      <c r="CW48" s="170"/>
      <c r="CX48" s="170"/>
      <c r="CY48" s="170"/>
    </row>
    <row r="49" spans="1:103" s="171" customFormat="1" ht="33.75" customHeight="1">
      <c r="A49" s="170"/>
      <c r="B49" s="165"/>
      <c r="C49" s="217"/>
      <c r="D49" s="235" t="s">
        <v>27</v>
      </c>
      <c r="E49" s="236"/>
      <c r="F49" s="236"/>
      <c r="G49" s="236"/>
      <c r="H49" s="237"/>
      <c r="I49" s="237"/>
      <c r="J49" s="236"/>
      <c r="K49" s="236"/>
      <c r="L49" s="238">
        <f ca="1">Tables!B311</f>
        <v>7949.5971350524169</v>
      </c>
      <c r="M49" s="206"/>
      <c r="N49" s="177"/>
      <c r="O49" s="170"/>
      <c r="P49" s="21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c r="BQ49" s="170"/>
      <c r="BR49" s="170"/>
      <c r="BS49" s="170"/>
      <c r="BT49" s="170"/>
      <c r="BU49" s="170"/>
      <c r="BV49" s="170"/>
      <c r="BW49" s="170"/>
      <c r="BX49" s="170"/>
      <c r="BY49" s="170"/>
      <c r="BZ49" s="170"/>
      <c r="CA49" s="170"/>
      <c r="CB49" s="170"/>
      <c r="CC49" s="170"/>
      <c r="CD49" s="170"/>
      <c r="CE49" s="170"/>
      <c r="CF49" s="170"/>
      <c r="CG49" s="170"/>
      <c r="CH49" s="170"/>
      <c r="CI49" s="170"/>
      <c r="CJ49" s="170"/>
      <c r="CK49" s="170"/>
      <c r="CL49" s="170"/>
      <c r="CM49" s="170"/>
      <c r="CN49" s="170"/>
      <c r="CO49" s="170"/>
      <c r="CP49" s="170"/>
      <c r="CQ49" s="170"/>
      <c r="CR49" s="170"/>
      <c r="CS49" s="170"/>
      <c r="CT49" s="170"/>
      <c r="CU49" s="170"/>
      <c r="CV49" s="170"/>
      <c r="CW49" s="170"/>
      <c r="CX49" s="170"/>
      <c r="CY49" s="170"/>
    </row>
    <row r="50" spans="1:103" s="171" customFormat="1" ht="16.5" customHeight="1">
      <c r="A50" s="170"/>
      <c r="B50" s="165"/>
      <c r="C50" s="217"/>
      <c r="D50" s="176"/>
      <c r="E50" s="176"/>
      <c r="F50" s="176"/>
      <c r="G50" s="176"/>
      <c r="H50" s="177"/>
      <c r="I50" s="177"/>
      <c r="J50" s="176"/>
      <c r="K50" s="176"/>
      <c r="L50" s="176"/>
      <c r="M50" s="176"/>
      <c r="N50" s="177"/>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0"/>
      <c r="BR50" s="170"/>
      <c r="BS50" s="170"/>
      <c r="BT50" s="170"/>
      <c r="BU50" s="170"/>
      <c r="BV50" s="170"/>
      <c r="BW50" s="170"/>
      <c r="BX50" s="170"/>
      <c r="BY50" s="170"/>
      <c r="BZ50" s="170"/>
      <c r="CA50" s="170"/>
      <c r="CB50" s="170"/>
      <c r="CC50" s="170"/>
      <c r="CD50" s="170"/>
      <c r="CE50" s="170"/>
      <c r="CF50" s="170"/>
      <c r="CG50" s="170"/>
      <c r="CH50" s="170"/>
      <c r="CI50" s="170"/>
      <c r="CJ50" s="170"/>
      <c r="CK50" s="170"/>
      <c r="CL50" s="170"/>
      <c r="CM50" s="170"/>
      <c r="CN50" s="170"/>
      <c r="CO50" s="170"/>
      <c r="CP50" s="170"/>
      <c r="CQ50" s="170"/>
      <c r="CR50" s="170"/>
      <c r="CS50" s="170"/>
      <c r="CT50" s="170"/>
      <c r="CU50" s="170"/>
      <c r="CV50" s="170"/>
      <c r="CW50" s="170"/>
      <c r="CX50" s="170"/>
      <c r="CY50" s="170"/>
    </row>
    <row r="51" spans="1:103" s="171" customFormat="1" ht="33.75" customHeight="1">
      <c r="A51" s="170"/>
      <c r="B51" s="165"/>
      <c r="C51" s="165"/>
      <c r="D51" s="178" t="s">
        <v>7</v>
      </c>
      <c r="E51" s="179"/>
      <c r="F51" s="179"/>
      <c r="G51" s="178"/>
      <c r="H51" s="180"/>
      <c r="I51" s="180"/>
      <c r="J51" s="178"/>
      <c r="K51" s="178"/>
      <c r="L51" s="180" t="s">
        <v>33</v>
      </c>
      <c r="M51" s="216"/>
      <c r="N51" s="215"/>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0"/>
      <c r="BR51" s="170"/>
      <c r="BS51" s="170"/>
      <c r="BT51" s="170"/>
      <c r="BU51" s="170"/>
      <c r="BV51" s="170"/>
      <c r="BW51" s="170"/>
      <c r="BX51" s="170"/>
      <c r="BY51" s="170"/>
      <c r="BZ51" s="170"/>
      <c r="CA51" s="170"/>
      <c r="CB51" s="170"/>
      <c r="CC51" s="170"/>
      <c r="CD51" s="170"/>
      <c r="CE51" s="170"/>
      <c r="CF51" s="170"/>
      <c r="CG51" s="170"/>
      <c r="CH51" s="170"/>
      <c r="CI51" s="170"/>
      <c r="CJ51" s="170"/>
      <c r="CK51" s="170"/>
      <c r="CL51" s="170"/>
      <c r="CM51" s="170"/>
      <c r="CN51" s="170"/>
      <c r="CO51" s="170"/>
      <c r="CP51" s="170"/>
      <c r="CQ51" s="170"/>
      <c r="CR51" s="170"/>
      <c r="CS51" s="170"/>
      <c r="CT51" s="170"/>
      <c r="CU51" s="170"/>
      <c r="CV51" s="170"/>
      <c r="CW51" s="170"/>
      <c r="CX51" s="170"/>
      <c r="CY51" s="170"/>
    </row>
    <row r="52" spans="1:103" s="171" customFormat="1" ht="3.75" customHeight="1" thickBot="1">
      <c r="A52" s="170"/>
      <c r="B52" s="165"/>
      <c r="C52" s="165"/>
      <c r="D52" s="176"/>
      <c r="E52" s="176"/>
      <c r="F52" s="176"/>
      <c r="G52" s="176"/>
      <c r="H52" s="177"/>
      <c r="I52" s="177"/>
      <c r="J52" s="176"/>
      <c r="K52" s="176"/>
      <c r="L52" s="176"/>
      <c r="M52" s="176"/>
      <c r="N52" s="215"/>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0"/>
      <c r="BR52" s="170"/>
      <c r="BS52" s="170"/>
      <c r="BT52" s="170"/>
      <c r="BU52" s="170"/>
      <c r="BV52" s="170"/>
      <c r="BW52" s="170"/>
      <c r="BX52" s="170"/>
      <c r="BY52" s="170"/>
      <c r="BZ52" s="170"/>
      <c r="CA52" s="170"/>
      <c r="CB52" s="170"/>
      <c r="CC52" s="170"/>
      <c r="CD52" s="170"/>
      <c r="CE52" s="170"/>
      <c r="CF52" s="170"/>
      <c r="CG52" s="170"/>
      <c r="CH52" s="170"/>
      <c r="CI52" s="170"/>
      <c r="CJ52" s="170"/>
      <c r="CK52" s="170"/>
      <c r="CL52" s="170"/>
      <c r="CM52" s="170"/>
      <c r="CN52" s="170"/>
      <c r="CO52" s="170"/>
      <c r="CP52" s="170"/>
      <c r="CQ52" s="170"/>
      <c r="CR52" s="170"/>
      <c r="CS52" s="170"/>
      <c r="CT52" s="170"/>
      <c r="CU52" s="170"/>
      <c r="CV52" s="170"/>
      <c r="CW52" s="170"/>
      <c r="CX52" s="170"/>
      <c r="CY52" s="170"/>
    </row>
    <row r="53" spans="1:103" s="171" customFormat="1" ht="24.75" customHeight="1">
      <c r="A53" s="170"/>
      <c r="B53" s="165"/>
      <c r="C53" s="165"/>
      <c r="D53" s="239" t="s">
        <v>11</v>
      </c>
      <c r="E53" s="219"/>
      <c r="F53" s="219"/>
      <c r="G53" s="219"/>
      <c r="H53" s="219"/>
      <c r="I53" s="219"/>
      <c r="J53" s="219"/>
      <c r="K53" s="240"/>
      <c r="L53" s="219"/>
      <c r="M53" s="221"/>
      <c r="N53" s="215"/>
      <c r="O53" s="170"/>
      <c r="P53" s="241"/>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0"/>
      <c r="BR53" s="170"/>
      <c r="BS53" s="170"/>
      <c r="BT53" s="170"/>
      <c r="BU53" s="170"/>
      <c r="BV53" s="170"/>
      <c r="BW53" s="170"/>
      <c r="BX53" s="170"/>
      <c r="BY53" s="170"/>
      <c r="BZ53" s="170"/>
      <c r="CA53" s="170"/>
      <c r="CB53" s="170"/>
      <c r="CC53" s="170"/>
      <c r="CD53" s="170"/>
      <c r="CE53" s="170"/>
      <c r="CF53" s="170"/>
      <c r="CG53" s="170"/>
      <c r="CH53" s="170"/>
      <c r="CI53" s="170"/>
      <c r="CJ53" s="170"/>
      <c r="CK53" s="170"/>
      <c r="CL53" s="170"/>
      <c r="CM53" s="170"/>
      <c r="CN53" s="170"/>
      <c r="CO53" s="170"/>
      <c r="CP53" s="170"/>
      <c r="CQ53" s="170"/>
      <c r="CR53" s="170"/>
      <c r="CS53" s="170"/>
      <c r="CT53" s="170"/>
      <c r="CU53" s="170"/>
      <c r="CV53" s="170"/>
      <c r="CW53" s="170"/>
      <c r="CX53" s="170"/>
      <c r="CY53" s="170"/>
    </row>
    <row r="54" spans="1:103" s="171" customFormat="1" ht="29.25" customHeight="1" thickBot="1">
      <c r="A54" s="170"/>
      <c r="B54" s="165"/>
      <c r="C54" s="165"/>
      <c r="D54" s="225"/>
      <c r="E54" s="176"/>
      <c r="F54" s="176"/>
      <c r="G54" s="300" t="s">
        <v>10</v>
      </c>
      <c r="H54" s="301" t="s">
        <v>305</v>
      </c>
      <c r="I54" s="301" t="s">
        <v>101</v>
      </c>
      <c r="J54" s="301" t="s">
        <v>34</v>
      </c>
      <c r="K54" s="242"/>
      <c r="L54" s="176"/>
      <c r="M54" s="223"/>
      <c r="N54" s="215"/>
      <c r="O54" s="170"/>
      <c r="P54" s="241"/>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0"/>
      <c r="BR54" s="170"/>
      <c r="BS54" s="170"/>
      <c r="BT54" s="170"/>
      <c r="BU54" s="170"/>
      <c r="BV54" s="170"/>
      <c r="BW54" s="170"/>
      <c r="BX54" s="170"/>
      <c r="BY54" s="170"/>
      <c r="BZ54" s="170"/>
      <c r="CA54" s="170"/>
      <c r="CB54" s="170"/>
      <c r="CC54" s="170"/>
      <c r="CD54" s="170"/>
      <c r="CE54" s="170"/>
      <c r="CF54" s="170"/>
      <c r="CG54" s="170"/>
      <c r="CH54" s="170"/>
      <c r="CI54" s="170"/>
      <c r="CJ54" s="170"/>
      <c r="CK54" s="170"/>
      <c r="CL54" s="170"/>
      <c r="CM54" s="170"/>
      <c r="CN54" s="170"/>
      <c r="CO54" s="170"/>
      <c r="CP54" s="170"/>
      <c r="CQ54" s="170"/>
      <c r="CR54" s="170"/>
      <c r="CS54" s="170"/>
      <c r="CT54" s="170"/>
      <c r="CU54" s="170"/>
      <c r="CV54" s="170"/>
      <c r="CW54" s="170"/>
      <c r="CX54" s="170"/>
      <c r="CY54" s="170"/>
    </row>
    <row r="55" spans="1:103" s="171" customFormat="1" ht="18" customHeight="1">
      <c r="A55" s="170"/>
      <c r="B55" s="165"/>
      <c r="C55" s="165"/>
      <c r="D55" s="225"/>
      <c r="E55" s="192" t="s">
        <v>9</v>
      </c>
      <c r="F55" s="176"/>
      <c r="G55" s="148"/>
      <c r="H55" s="155"/>
      <c r="I55" s="155"/>
      <c r="J55" s="156"/>
      <c r="K55" s="243"/>
      <c r="L55" s="193">
        <f>Tables!B317</f>
        <v>0</v>
      </c>
      <c r="M55" s="223"/>
      <c r="N55" s="215"/>
      <c r="O55" s="170"/>
      <c r="P55" s="244"/>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170"/>
      <c r="BA55" s="170"/>
      <c r="BB55" s="170"/>
      <c r="BC55" s="170"/>
      <c r="BD55" s="170"/>
      <c r="BE55" s="170"/>
      <c r="BF55" s="170"/>
      <c r="BG55" s="170"/>
      <c r="BH55" s="170"/>
      <c r="BI55" s="170"/>
      <c r="BJ55" s="170"/>
      <c r="BK55" s="170"/>
      <c r="BL55" s="170"/>
      <c r="BM55" s="170"/>
      <c r="BN55" s="170"/>
      <c r="BO55" s="170"/>
      <c r="BP55" s="170"/>
      <c r="BQ55" s="170"/>
      <c r="BR55" s="170"/>
      <c r="BS55" s="170"/>
      <c r="BT55" s="170"/>
      <c r="BU55" s="170"/>
      <c r="BV55" s="170"/>
      <c r="BW55" s="170"/>
      <c r="BX55" s="170"/>
      <c r="BY55" s="170"/>
      <c r="BZ55" s="170"/>
      <c r="CA55" s="170"/>
      <c r="CB55" s="170"/>
      <c r="CC55" s="170"/>
      <c r="CD55" s="170"/>
      <c r="CE55" s="170"/>
      <c r="CF55" s="170"/>
      <c r="CG55" s="170"/>
      <c r="CH55" s="170"/>
      <c r="CI55" s="170"/>
      <c r="CJ55" s="170"/>
      <c r="CK55" s="170"/>
      <c r="CL55" s="170"/>
      <c r="CM55" s="170"/>
      <c r="CN55" s="170"/>
      <c r="CO55" s="170"/>
      <c r="CP55" s="170"/>
      <c r="CQ55" s="170"/>
      <c r="CR55" s="170"/>
      <c r="CS55" s="170"/>
      <c r="CT55" s="170"/>
      <c r="CU55" s="170"/>
      <c r="CV55" s="170"/>
      <c r="CW55" s="170"/>
      <c r="CX55" s="170"/>
      <c r="CY55" s="170"/>
    </row>
    <row r="56" spans="1:103" s="171" customFormat="1" ht="18" customHeight="1" thickBot="1">
      <c r="A56" s="170"/>
      <c r="B56" s="165"/>
      <c r="C56" s="165"/>
      <c r="D56" s="225"/>
      <c r="E56" s="192" t="s">
        <v>8</v>
      </c>
      <c r="F56" s="176"/>
      <c r="G56" s="150"/>
      <c r="H56" s="157"/>
      <c r="I56" s="157"/>
      <c r="J56" s="158"/>
      <c r="K56" s="243"/>
      <c r="L56" s="193">
        <f>Tables!B318</f>
        <v>0</v>
      </c>
      <c r="M56" s="223"/>
      <c r="N56" s="215"/>
      <c r="O56" s="170"/>
      <c r="P56" s="245"/>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c r="BS56" s="170"/>
      <c r="BT56" s="170"/>
      <c r="BU56" s="170"/>
      <c r="BV56" s="170"/>
      <c r="BW56" s="170"/>
      <c r="BX56" s="170"/>
      <c r="BY56" s="170"/>
      <c r="BZ56" s="170"/>
      <c r="CA56" s="170"/>
      <c r="CB56" s="170"/>
      <c r="CC56" s="170"/>
      <c r="CD56" s="170"/>
      <c r="CE56" s="170"/>
      <c r="CF56" s="170"/>
      <c r="CG56" s="170"/>
      <c r="CH56" s="170"/>
      <c r="CI56" s="170"/>
      <c r="CJ56" s="170"/>
      <c r="CK56" s="170"/>
      <c r="CL56" s="170"/>
      <c r="CM56" s="170"/>
      <c r="CN56" s="170"/>
      <c r="CO56" s="170"/>
      <c r="CP56" s="170"/>
      <c r="CQ56" s="170"/>
      <c r="CR56" s="170"/>
      <c r="CS56" s="170"/>
      <c r="CT56" s="170"/>
      <c r="CU56" s="170"/>
      <c r="CV56" s="170"/>
      <c r="CW56" s="170"/>
      <c r="CX56" s="170"/>
      <c r="CY56" s="170"/>
    </row>
    <row r="57" spans="1:103" s="171" customFormat="1" ht="27" customHeight="1">
      <c r="A57" s="170"/>
      <c r="B57" s="165"/>
      <c r="C57" s="165"/>
      <c r="D57" s="246" t="s">
        <v>212</v>
      </c>
      <c r="E57" s="176"/>
      <c r="F57" s="176"/>
      <c r="G57" s="176"/>
      <c r="H57" s="177"/>
      <c r="I57" s="177"/>
      <c r="J57" s="176"/>
      <c r="K57" s="176"/>
      <c r="L57" s="176"/>
      <c r="M57" s="223"/>
      <c r="N57" s="215"/>
      <c r="O57" s="170"/>
      <c r="P57" s="241"/>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0"/>
      <c r="BR57" s="170"/>
      <c r="BS57" s="170"/>
      <c r="BT57" s="170"/>
      <c r="BU57" s="170"/>
      <c r="BV57" s="170"/>
      <c r="BW57" s="170"/>
      <c r="BX57" s="170"/>
      <c r="BY57" s="170"/>
      <c r="BZ57" s="170"/>
      <c r="CA57" s="170"/>
      <c r="CB57" s="170"/>
      <c r="CC57" s="170"/>
      <c r="CD57" s="170"/>
      <c r="CE57" s="170"/>
      <c r="CF57" s="170"/>
      <c r="CG57" s="170"/>
      <c r="CH57" s="170"/>
      <c r="CI57" s="170"/>
      <c r="CJ57" s="170"/>
      <c r="CK57" s="170"/>
      <c r="CL57" s="170"/>
      <c r="CM57" s="170"/>
      <c r="CN57" s="170"/>
      <c r="CO57" s="170"/>
      <c r="CP57" s="170"/>
      <c r="CQ57" s="170"/>
      <c r="CR57" s="170"/>
      <c r="CS57" s="170"/>
      <c r="CT57" s="170"/>
      <c r="CU57" s="170"/>
      <c r="CV57" s="170"/>
      <c r="CW57" s="170"/>
      <c r="CX57" s="170"/>
      <c r="CY57" s="170"/>
    </row>
    <row r="58" spans="1:103" s="171" customFormat="1" ht="16.5" customHeight="1" thickBot="1">
      <c r="A58" s="170"/>
      <c r="B58" s="165"/>
      <c r="C58" s="165"/>
      <c r="D58" s="247"/>
      <c r="E58" s="176"/>
      <c r="F58" s="176"/>
      <c r="G58" s="393" t="s">
        <v>71</v>
      </c>
      <c r="H58" s="393"/>
      <c r="I58" s="393"/>
      <c r="J58" s="393"/>
      <c r="K58" s="248"/>
      <c r="L58" s="176"/>
      <c r="M58" s="223"/>
      <c r="N58" s="215"/>
      <c r="O58" s="170"/>
      <c r="P58" s="241"/>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c r="BS58" s="170"/>
      <c r="BT58" s="170"/>
      <c r="BU58" s="170"/>
      <c r="BV58" s="170"/>
      <c r="BW58" s="170"/>
      <c r="BX58" s="170"/>
      <c r="BY58" s="170"/>
      <c r="BZ58" s="170"/>
      <c r="CA58" s="170"/>
      <c r="CB58" s="170"/>
      <c r="CC58" s="170"/>
      <c r="CD58" s="170"/>
      <c r="CE58" s="170"/>
      <c r="CF58" s="170"/>
      <c r="CG58" s="170"/>
      <c r="CH58" s="170"/>
      <c r="CI58" s="170"/>
      <c r="CJ58" s="170"/>
      <c r="CK58" s="170"/>
      <c r="CL58" s="170"/>
      <c r="CM58" s="170"/>
      <c r="CN58" s="170"/>
      <c r="CO58" s="170"/>
      <c r="CP58" s="170"/>
      <c r="CQ58" s="170"/>
      <c r="CR58" s="170"/>
      <c r="CS58" s="170"/>
      <c r="CT58" s="170"/>
      <c r="CU58" s="170"/>
      <c r="CV58" s="170"/>
      <c r="CW58" s="170"/>
      <c r="CX58" s="170"/>
      <c r="CY58" s="170"/>
    </row>
    <row r="59" spans="1:103" s="171" customFormat="1" ht="18" customHeight="1">
      <c r="A59" s="170"/>
      <c r="B59" s="165"/>
      <c r="C59" s="165"/>
      <c r="D59" s="222" t="s">
        <v>12</v>
      </c>
      <c r="E59" s="192" t="s">
        <v>81</v>
      </c>
      <c r="F59" s="176"/>
      <c r="G59" s="303"/>
      <c r="H59" s="304"/>
      <c r="I59" s="304"/>
      <c r="J59" s="305"/>
      <c r="K59" s="175"/>
      <c r="L59" s="148"/>
      <c r="M59" s="223"/>
      <c r="N59" s="215"/>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0"/>
      <c r="BR59" s="170"/>
      <c r="BS59" s="170"/>
      <c r="BT59" s="170"/>
      <c r="BU59" s="170"/>
      <c r="BV59" s="170"/>
      <c r="BW59" s="170"/>
      <c r="BX59" s="170"/>
      <c r="BY59" s="170"/>
      <c r="BZ59" s="170"/>
      <c r="CA59" s="170"/>
      <c r="CB59" s="170"/>
      <c r="CC59" s="170"/>
      <c r="CD59" s="170"/>
      <c r="CE59" s="170"/>
      <c r="CF59" s="170"/>
      <c r="CG59" s="170"/>
      <c r="CH59" s="170"/>
      <c r="CI59" s="170"/>
      <c r="CJ59" s="170"/>
      <c r="CK59" s="170"/>
      <c r="CL59" s="170"/>
      <c r="CM59" s="170"/>
      <c r="CN59" s="170"/>
      <c r="CO59" s="170"/>
      <c r="CP59" s="170"/>
      <c r="CQ59" s="170"/>
      <c r="CR59" s="170"/>
      <c r="CS59" s="170"/>
      <c r="CT59" s="170"/>
      <c r="CU59" s="170"/>
      <c r="CV59" s="170"/>
      <c r="CW59" s="170"/>
      <c r="CX59" s="170"/>
      <c r="CY59" s="170"/>
    </row>
    <row r="60" spans="1:103" s="171" customFormat="1" ht="18" customHeight="1">
      <c r="A60" s="170"/>
      <c r="B60" s="165"/>
      <c r="C60" s="165"/>
      <c r="D60" s="225"/>
      <c r="E60" s="192" t="s">
        <v>82</v>
      </c>
      <c r="F60" s="176"/>
      <c r="G60" s="306"/>
      <c r="H60" s="307"/>
      <c r="I60" s="307"/>
      <c r="J60" s="308"/>
      <c r="K60" s="175"/>
      <c r="L60" s="149"/>
      <c r="M60" s="223"/>
      <c r="N60" s="215"/>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c r="BS60" s="170"/>
      <c r="BT60" s="170"/>
      <c r="BU60" s="170"/>
      <c r="BV60" s="170"/>
      <c r="BW60" s="170"/>
      <c r="BX60" s="170"/>
      <c r="BY60" s="170"/>
      <c r="BZ60" s="170"/>
      <c r="CA60" s="170"/>
      <c r="CB60" s="170"/>
      <c r="CC60" s="170"/>
      <c r="CD60" s="170"/>
      <c r="CE60" s="170"/>
      <c r="CF60" s="170"/>
      <c r="CG60" s="170"/>
      <c r="CH60" s="170"/>
      <c r="CI60" s="170"/>
      <c r="CJ60" s="170"/>
      <c r="CK60" s="170"/>
      <c r="CL60" s="170"/>
      <c r="CM60" s="170"/>
      <c r="CN60" s="170"/>
      <c r="CO60" s="170"/>
      <c r="CP60" s="170"/>
      <c r="CQ60" s="170"/>
      <c r="CR60" s="170"/>
      <c r="CS60" s="170"/>
      <c r="CT60" s="170"/>
      <c r="CU60" s="170"/>
      <c r="CV60" s="170"/>
      <c r="CW60" s="170"/>
      <c r="CX60" s="170"/>
      <c r="CY60" s="170"/>
    </row>
    <row r="61" spans="1:103" s="171" customFormat="1" ht="18" customHeight="1">
      <c r="A61" s="170"/>
      <c r="B61" s="165"/>
      <c r="C61" s="165"/>
      <c r="D61" s="225"/>
      <c r="E61" s="192" t="s">
        <v>83</v>
      </c>
      <c r="F61" s="176"/>
      <c r="G61" s="306"/>
      <c r="H61" s="307"/>
      <c r="I61" s="307"/>
      <c r="J61" s="308"/>
      <c r="K61" s="175"/>
      <c r="L61" s="149"/>
      <c r="M61" s="223"/>
      <c r="N61" s="215"/>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c r="BK61" s="170"/>
      <c r="BL61" s="170"/>
      <c r="BM61" s="170"/>
      <c r="BN61" s="170"/>
      <c r="BO61" s="170"/>
      <c r="BP61" s="170"/>
      <c r="BQ61" s="170"/>
      <c r="BR61" s="170"/>
      <c r="BS61" s="170"/>
      <c r="BT61" s="170"/>
      <c r="BU61" s="170"/>
      <c r="BV61" s="170"/>
      <c r="BW61" s="170"/>
      <c r="BX61" s="170"/>
      <c r="BY61" s="170"/>
      <c r="BZ61" s="170"/>
      <c r="CA61" s="170"/>
      <c r="CB61" s="170"/>
      <c r="CC61" s="170"/>
      <c r="CD61" s="170"/>
      <c r="CE61" s="170"/>
      <c r="CF61" s="170"/>
      <c r="CG61" s="170"/>
      <c r="CH61" s="170"/>
      <c r="CI61" s="170"/>
      <c r="CJ61" s="170"/>
      <c r="CK61" s="170"/>
      <c r="CL61" s="170"/>
      <c r="CM61" s="170"/>
      <c r="CN61" s="170"/>
      <c r="CO61" s="170"/>
      <c r="CP61" s="170"/>
      <c r="CQ61" s="170"/>
      <c r="CR61" s="170"/>
      <c r="CS61" s="170"/>
      <c r="CT61" s="170"/>
      <c r="CU61" s="170"/>
      <c r="CV61" s="170"/>
      <c r="CW61" s="170"/>
      <c r="CX61" s="170"/>
      <c r="CY61" s="170"/>
    </row>
    <row r="62" spans="1:103" s="171" customFormat="1" ht="18" customHeight="1" thickBot="1">
      <c r="A62" s="170"/>
      <c r="B62" s="165"/>
      <c r="C62" s="165"/>
      <c r="D62" s="225"/>
      <c r="E62" s="192" t="s">
        <v>84</v>
      </c>
      <c r="F62" s="176"/>
      <c r="G62" s="309"/>
      <c r="H62" s="310"/>
      <c r="I62" s="310"/>
      <c r="J62" s="311"/>
      <c r="K62" s="175"/>
      <c r="L62" s="150"/>
      <c r="M62" s="223"/>
      <c r="N62" s="215"/>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c r="BS62" s="170"/>
      <c r="BT62" s="170"/>
      <c r="BU62" s="170"/>
      <c r="BV62" s="170"/>
      <c r="BW62" s="170"/>
      <c r="BX62" s="170"/>
      <c r="BY62" s="170"/>
      <c r="BZ62" s="170"/>
      <c r="CA62" s="170"/>
      <c r="CB62" s="170"/>
      <c r="CC62" s="170"/>
      <c r="CD62" s="170"/>
      <c r="CE62" s="170"/>
      <c r="CF62" s="170"/>
      <c r="CG62" s="170"/>
      <c r="CH62" s="170"/>
      <c r="CI62" s="170"/>
      <c r="CJ62" s="170"/>
      <c r="CK62" s="170"/>
      <c r="CL62" s="170"/>
      <c r="CM62" s="170"/>
      <c r="CN62" s="170"/>
      <c r="CO62" s="170"/>
      <c r="CP62" s="170"/>
      <c r="CQ62" s="170"/>
      <c r="CR62" s="170"/>
      <c r="CS62" s="170"/>
      <c r="CT62" s="170"/>
      <c r="CU62" s="170"/>
      <c r="CV62" s="170"/>
      <c r="CW62" s="170"/>
      <c r="CX62" s="170"/>
      <c r="CY62" s="170"/>
    </row>
    <row r="63" spans="1:103" s="171" customFormat="1" ht="17.100000000000001" customHeight="1">
      <c r="A63" s="170"/>
      <c r="B63" s="165"/>
      <c r="C63" s="165"/>
      <c r="D63" s="225"/>
      <c r="E63" s="176"/>
      <c r="F63" s="176"/>
      <c r="G63" s="176"/>
      <c r="H63" s="177"/>
      <c r="I63" s="177"/>
      <c r="J63" s="176"/>
      <c r="K63" s="176"/>
      <c r="L63" s="176"/>
      <c r="M63" s="223"/>
      <c r="N63" s="215"/>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0"/>
      <c r="AY63" s="170"/>
      <c r="AZ63" s="170"/>
      <c r="BA63" s="170"/>
      <c r="BB63" s="170"/>
      <c r="BC63" s="170"/>
      <c r="BD63" s="170"/>
      <c r="BE63" s="170"/>
      <c r="BF63" s="170"/>
      <c r="BG63" s="170"/>
      <c r="BH63" s="170"/>
      <c r="BI63" s="170"/>
      <c r="BJ63" s="170"/>
      <c r="BK63" s="170"/>
      <c r="BL63" s="170"/>
      <c r="BM63" s="170"/>
      <c r="BN63" s="170"/>
      <c r="BO63" s="170"/>
      <c r="BP63" s="170"/>
      <c r="BQ63" s="170"/>
      <c r="BR63" s="170"/>
      <c r="BS63" s="170"/>
      <c r="BT63" s="170"/>
      <c r="BU63" s="170"/>
      <c r="BV63" s="170"/>
      <c r="BW63" s="170"/>
      <c r="BX63" s="170"/>
      <c r="BY63" s="170"/>
      <c r="BZ63" s="170"/>
      <c r="CA63" s="170"/>
      <c r="CB63" s="170"/>
      <c r="CC63" s="170"/>
      <c r="CD63" s="170"/>
      <c r="CE63" s="170"/>
      <c r="CF63" s="170"/>
      <c r="CG63" s="170"/>
      <c r="CH63" s="170"/>
      <c r="CI63" s="170"/>
      <c r="CJ63" s="170"/>
      <c r="CK63" s="170"/>
      <c r="CL63" s="170"/>
      <c r="CM63" s="170"/>
      <c r="CN63" s="170"/>
      <c r="CO63" s="170"/>
      <c r="CP63" s="170"/>
      <c r="CQ63" s="170"/>
      <c r="CR63" s="170"/>
      <c r="CS63" s="170"/>
      <c r="CT63" s="170"/>
      <c r="CU63" s="170"/>
      <c r="CV63" s="170"/>
      <c r="CW63" s="170"/>
      <c r="CX63" s="170"/>
      <c r="CY63" s="170"/>
    </row>
    <row r="64" spans="1:103" s="171" customFormat="1" ht="16.5" customHeight="1" thickBot="1">
      <c r="A64" s="170"/>
      <c r="B64" s="165"/>
      <c r="C64" s="165"/>
      <c r="D64" s="225"/>
      <c r="E64" s="176"/>
      <c r="F64" s="176"/>
      <c r="G64" s="249" t="s">
        <v>31</v>
      </c>
      <c r="H64" s="177"/>
      <c r="I64" s="177"/>
      <c r="J64" s="176"/>
      <c r="K64" s="176"/>
      <c r="L64" s="176"/>
      <c r="M64" s="223"/>
      <c r="N64" s="215"/>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0"/>
      <c r="BR64" s="170"/>
      <c r="BS64" s="170"/>
      <c r="BT64" s="170"/>
      <c r="BU64" s="170"/>
      <c r="BV64" s="170"/>
      <c r="BW64" s="170"/>
      <c r="BX64" s="170"/>
      <c r="BY64" s="170"/>
      <c r="BZ64" s="170"/>
      <c r="CA64" s="170"/>
      <c r="CB64" s="170"/>
      <c r="CC64" s="170"/>
      <c r="CD64" s="170"/>
      <c r="CE64" s="170"/>
      <c r="CF64" s="170"/>
      <c r="CG64" s="170"/>
      <c r="CH64" s="170"/>
      <c r="CI64" s="170"/>
      <c r="CJ64" s="170"/>
      <c r="CK64" s="170"/>
      <c r="CL64" s="170"/>
      <c r="CM64" s="170"/>
      <c r="CN64" s="170"/>
      <c r="CO64" s="170"/>
      <c r="CP64" s="170"/>
      <c r="CQ64" s="170"/>
      <c r="CR64" s="170"/>
      <c r="CS64" s="170"/>
      <c r="CT64" s="170"/>
      <c r="CU64" s="170"/>
      <c r="CV64" s="170"/>
      <c r="CW64" s="170"/>
      <c r="CX64" s="170"/>
      <c r="CY64" s="170"/>
    </row>
    <row r="65" spans="1:103" s="171" customFormat="1" ht="18" customHeight="1" thickBot="1">
      <c r="A65" s="170"/>
      <c r="B65" s="165"/>
      <c r="C65" s="165"/>
      <c r="D65" s="222" t="s">
        <v>13</v>
      </c>
      <c r="E65" s="176"/>
      <c r="F65" s="176"/>
      <c r="G65" s="151"/>
      <c r="H65" s="302" t="s">
        <v>300</v>
      </c>
      <c r="I65" s="250"/>
      <c r="J65" s="176"/>
      <c r="K65" s="176"/>
      <c r="L65" s="193">
        <f>G65*3.82%</f>
        <v>0</v>
      </c>
      <c r="M65" s="223"/>
      <c r="N65" s="215"/>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0"/>
      <c r="AY65" s="170"/>
      <c r="AZ65" s="170"/>
      <c r="BA65" s="170"/>
      <c r="BB65" s="170"/>
      <c r="BC65" s="170"/>
      <c r="BD65" s="170"/>
      <c r="BE65" s="170"/>
      <c r="BF65" s="170"/>
      <c r="BG65" s="170"/>
      <c r="BH65" s="170"/>
      <c r="BI65" s="170"/>
      <c r="BJ65" s="170"/>
      <c r="BK65" s="170"/>
      <c r="BL65" s="170"/>
      <c r="BM65" s="170"/>
      <c r="BN65" s="170"/>
      <c r="BO65" s="170"/>
      <c r="BP65" s="170"/>
      <c r="BQ65" s="170"/>
      <c r="BR65" s="170"/>
      <c r="BS65" s="170"/>
      <c r="BT65" s="170"/>
      <c r="BU65" s="170"/>
      <c r="BV65" s="170"/>
      <c r="BW65" s="170"/>
      <c r="BX65" s="170"/>
      <c r="BY65" s="170"/>
      <c r="BZ65" s="170"/>
      <c r="CA65" s="170"/>
      <c r="CB65" s="170"/>
      <c r="CC65" s="170"/>
      <c r="CD65" s="170"/>
      <c r="CE65" s="170"/>
      <c r="CF65" s="170"/>
      <c r="CG65" s="170"/>
      <c r="CH65" s="170"/>
      <c r="CI65" s="170"/>
      <c r="CJ65" s="170"/>
      <c r="CK65" s="170"/>
      <c r="CL65" s="170"/>
      <c r="CM65" s="170"/>
      <c r="CN65" s="170"/>
      <c r="CO65" s="170"/>
      <c r="CP65" s="170"/>
      <c r="CQ65" s="170"/>
      <c r="CR65" s="170"/>
      <c r="CS65" s="170"/>
      <c r="CT65" s="170"/>
      <c r="CU65" s="170"/>
      <c r="CV65" s="170"/>
      <c r="CW65" s="170"/>
      <c r="CX65" s="170"/>
      <c r="CY65" s="170"/>
    </row>
    <row r="66" spans="1:103" s="171" customFormat="1" ht="17.100000000000001" customHeight="1" thickBot="1">
      <c r="A66" s="170"/>
      <c r="B66" s="165"/>
      <c r="C66" s="165"/>
      <c r="D66" s="225"/>
      <c r="E66" s="176"/>
      <c r="F66" s="176"/>
      <c r="G66" s="176"/>
      <c r="H66" s="177"/>
      <c r="I66" s="177"/>
      <c r="J66" s="176"/>
      <c r="K66" s="176"/>
      <c r="L66" s="176"/>
      <c r="M66" s="223"/>
      <c r="N66" s="215"/>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70"/>
      <c r="BD66" s="170"/>
      <c r="BE66" s="170"/>
      <c r="BF66" s="170"/>
      <c r="BG66" s="170"/>
      <c r="BH66" s="170"/>
      <c r="BI66" s="170"/>
      <c r="BJ66" s="170"/>
      <c r="BK66" s="170"/>
      <c r="BL66" s="170"/>
      <c r="BM66" s="170"/>
      <c r="BN66" s="170"/>
      <c r="BO66" s="170"/>
      <c r="BP66" s="170"/>
      <c r="BQ66" s="170"/>
      <c r="BR66" s="170"/>
      <c r="BS66" s="170"/>
      <c r="BT66" s="170"/>
      <c r="BU66" s="170"/>
      <c r="BV66" s="170"/>
      <c r="BW66" s="170"/>
      <c r="BX66" s="170"/>
      <c r="BY66" s="170"/>
      <c r="BZ66" s="170"/>
      <c r="CA66" s="170"/>
      <c r="CB66" s="170"/>
      <c r="CC66" s="170"/>
      <c r="CD66" s="170"/>
      <c r="CE66" s="170"/>
      <c r="CF66" s="170"/>
      <c r="CG66" s="170"/>
      <c r="CH66" s="170"/>
      <c r="CI66" s="170"/>
      <c r="CJ66" s="170"/>
      <c r="CK66" s="170"/>
      <c r="CL66" s="170"/>
      <c r="CM66" s="170"/>
      <c r="CN66" s="170"/>
      <c r="CO66" s="170"/>
      <c r="CP66" s="170"/>
      <c r="CQ66" s="170"/>
      <c r="CR66" s="170"/>
      <c r="CS66" s="170"/>
      <c r="CT66" s="170"/>
      <c r="CU66" s="170"/>
      <c r="CV66" s="170"/>
      <c r="CW66" s="170"/>
      <c r="CX66" s="170"/>
      <c r="CY66" s="170"/>
    </row>
    <row r="67" spans="1:103" s="171" customFormat="1" ht="18" customHeight="1" thickBot="1">
      <c r="A67" s="170"/>
      <c r="B67" s="165"/>
      <c r="C67" s="165"/>
      <c r="D67" s="222" t="s">
        <v>30</v>
      </c>
      <c r="E67" s="176"/>
      <c r="F67" s="176"/>
      <c r="G67" s="251"/>
      <c r="H67" s="177"/>
      <c r="I67" s="177"/>
      <c r="J67" s="176"/>
      <c r="K67" s="176"/>
      <c r="L67" s="161"/>
      <c r="M67" s="223"/>
      <c r="N67" s="215"/>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0"/>
      <c r="AY67" s="170"/>
      <c r="AZ67" s="170"/>
      <c r="BA67" s="170"/>
      <c r="BB67" s="170"/>
      <c r="BC67" s="170"/>
      <c r="BD67" s="170"/>
      <c r="BE67" s="170"/>
      <c r="BF67" s="170"/>
      <c r="BG67" s="170"/>
      <c r="BH67" s="170"/>
      <c r="BI67" s="170"/>
      <c r="BJ67" s="170"/>
      <c r="BK67" s="170"/>
      <c r="BL67" s="170"/>
      <c r="BM67" s="170"/>
      <c r="BN67" s="170"/>
      <c r="BO67" s="170"/>
      <c r="BP67" s="170"/>
      <c r="BQ67" s="170"/>
      <c r="BR67" s="170"/>
      <c r="BS67" s="170"/>
      <c r="BT67" s="170"/>
      <c r="BU67" s="170"/>
      <c r="BV67" s="170"/>
      <c r="BW67" s="170"/>
      <c r="BX67" s="170"/>
      <c r="BY67" s="170"/>
      <c r="BZ67" s="170"/>
      <c r="CA67" s="170"/>
      <c r="CB67" s="170"/>
      <c r="CC67" s="170"/>
      <c r="CD67" s="170"/>
      <c r="CE67" s="170"/>
      <c r="CF67" s="170"/>
      <c r="CG67" s="170"/>
      <c r="CH67" s="170"/>
      <c r="CI67" s="170"/>
      <c r="CJ67" s="170"/>
      <c r="CK67" s="170"/>
      <c r="CL67" s="170"/>
      <c r="CM67" s="170"/>
      <c r="CN67" s="170"/>
      <c r="CO67" s="170"/>
      <c r="CP67" s="170"/>
      <c r="CQ67" s="170"/>
      <c r="CR67" s="170"/>
      <c r="CS67" s="170"/>
      <c r="CT67" s="170"/>
      <c r="CU67" s="170"/>
      <c r="CV67" s="170"/>
      <c r="CW67" s="170"/>
      <c r="CX67" s="170"/>
      <c r="CY67" s="170"/>
    </row>
    <row r="68" spans="1:103" s="171" customFormat="1" ht="16.5" customHeight="1" thickBot="1">
      <c r="A68" s="170"/>
      <c r="B68" s="165"/>
      <c r="C68" s="165"/>
      <c r="D68" s="225"/>
      <c r="E68" s="176"/>
      <c r="F68" s="176"/>
      <c r="G68" s="176"/>
      <c r="H68" s="177"/>
      <c r="I68" s="177"/>
      <c r="J68" s="176"/>
      <c r="K68" s="176"/>
      <c r="L68" s="176"/>
      <c r="M68" s="223"/>
      <c r="N68" s="215"/>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70"/>
      <c r="BD68" s="170"/>
      <c r="BE68" s="170"/>
      <c r="BF68" s="170"/>
      <c r="BG68" s="170"/>
      <c r="BH68" s="170"/>
      <c r="BI68" s="170"/>
      <c r="BJ68" s="170"/>
      <c r="BK68" s="170"/>
      <c r="BL68" s="170"/>
      <c r="BM68" s="170"/>
      <c r="BN68" s="170"/>
      <c r="BO68" s="170"/>
      <c r="BP68" s="170"/>
      <c r="BQ68" s="170"/>
      <c r="BR68" s="170"/>
      <c r="BS68" s="170"/>
      <c r="BT68" s="170"/>
      <c r="BU68" s="170"/>
      <c r="BV68" s="170"/>
      <c r="BW68" s="170"/>
      <c r="BX68" s="170"/>
      <c r="BY68" s="170"/>
      <c r="BZ68" s="170"/>
      <c r="CA68" s="170"/>
      <c r="CB68" s="170"/>
      <c r="CC68" s="170"/>
      <c r="CD68" s="170"/>
      <c r="CE68" s="170"/>
      <c r="CF68" s="170"/>
      <c r="CG68" s="170"/>
      <c r="CH68" s="170"/>
      <c r="CI68" s="170"/>
      <c r="CJ68" s="170"/>
      <c r="CK68" s="170"/>
      <c r="CL68" s="170"/>
      <c r="CM68" s="170"/>
      <c r="CN68" s="170"/>
      <c r="CO68" s="170"/>
      <c r="CP68" s="170"/>
      <c r="CQ68" s="170"/>
      <c r="CR68" s="170"/>
      <c r="CS68" s="170"/>
      <c r="CT68" s="170"/>
      <c r="CU68" s="170"/>
      <c r="CV68" s="170"/>
      <c r="CW68" s="170"/>
      <c r="CX68" s="170"/>
      <c r="CY68" s="170"/>
    </row>
    <row r="69" spans="1:103" s="171" customFormat="1" ht="18" customHeight="1" thickBot="1">
      <c r="A69" s="170"/>
      <c r="B69" s="165"/>
      <c r="C69" s="165"/>
      <c r="D69" s="222" t="s">
        <v>72</v>
      </c>
      <c r="E69" s="176"/>
      <c r="F69" s="176"/>
      <c r="G69" s="251"/>
      <c r="H69" s="177"/>
      <c r="I69" s="177"/>
      <c r="J69" s="176"/>
      <c r="K69" s="176"/>
      <c r="L69" s="161"/>
      <c r="M69" s="223"/>
      <c r="N69" s="215"/>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0"/>
      <c r="AY69" s="170"/>
      <c r="AZ69" s="170"/>
      <c r="BA69" s="170"/>
      <c r="BB69" s="170"/>
      <c r="BC69" s="170"/>
      <c r="BD69" s="170"/>
      <c r="BE69" s="170"/>
      <c r="BF69" s="170"/>
      <c r="BG69" s="170"/>
      <c r="BH69" s="170"/>
      <c r="BI69" s="170"/>
      <c r="BJ69" s="170"/>
      <c r="BK69" s="170"/>
      <c r="BL69" s="170"/>
      <c r="BM69" s="170"/>
      <c r="BN69" s="170"/>
      <c r="BO69" s="170"/>
      <c r="BP69" s="170"/>
      <c r="BQ69" s="170"/>
      <c r="BR69" s="170"/>
      <c r="BS69" s="170"/>
      <c r="BT69" s="170"/>
      <c r="BU69" s="170"/>
      <c r="BV69" s="170"/>
      <c r="BW69" s="170"/>
      <c r="BX69" s="170"/>
      <c r="BY69" s="170"/>
      <c r="BZ69" s="170"/>
      <c r="CA69" s="170"/>
      <c r="CB69" s="170"/>
      <c r="CC69" s="170"/>
      <c r="CD69" s="170"/>
      <c r="CE69" s="170"/>
      <c r="CF69" s="170"/>
      <c r="CG69" s="170"/>
      <c r="CH69" s="170"/>
      <c r="CI69" s="170"/>
      <c r="CJ69" s="170"/>
      <c r="CK69" s="170"/>
      <c r="CL69" s="170"/>
      <c r="CM69" s="170"/>
      <c r="CN69" s="170"/>
      <c r="CO69" s="170"/>
      <c r="CP69" s="170"/>
      <c r="CQ69" s="170"/>
      <c r="CR69" s="170"/>
      <c r="CS69" s="170"/>
      <c r="CT69" s="170"/>
      <c r="CU69" s="170"/>
      <c r="CV69" s="170"/>
      <c r="CW69" s="170"/>
      <c r="CX69" s="170"/>
      <c r="CY69" s="170"/>
    </row>
    <row r="70" spans="1:103" s="171" customFormat="1" ht="16.5" customHeight="1">
      <c r="A70" s="170"/>
      <c r="B70" s="165"/>
      <c r="C70" s="165"/>
      <c r="D70" s="225"/>
      <c r="E70" s="176"/>
      <c r="F70" s="176"/>
      <c r="G70" s="176"/>
      <c r="H70" s="177"/>
      <c r="I70" s="177"/>
      <c r="J70" s="176"/>
      <c r="K70" s="176"/>
      <c r="L70" s="176"/>
      <c r="M70" s="223"/>
      <c r="N70" s="215"/>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0"/>
      <c r="BQ70" s="170"/>
      <c r="BR70" s="170"/>
      <c r="BS70" s="170"/>
      <c r="BT70" s="170"/>
      <c r="BU70" s="170"/>
      <c r="BV70" s="170"/>
      <c r="BW70" s="170"/>
      <c r="BX70" s="170"/>
      <c r="BY70" s="170"/>
      <c r="BZ70" s="170"/>
      <c r="CA70" s="170"/>
      <c r="CB70" s="170"/>
      <c r="CC70" s="170"/>
      <c r="CD70" s="170"/>
      <c r="CE70" s="170"/>
      <c r="CF70" s="170"/>
      <c r="CG70" s="170"/>
      <c r="CH70" s="170"/>
      <c r="CI70" s="170"/>
      <c r="CJ70" s="170"/>
      <c r="CK70" s="170"/>
      <c r="CL70" s="170"/>
      <c r="CM70" s="170"/>
      <c r="CN70" s="170"/>
      <c r="CO70" s="170"/>
      <c r="CP70" s="170"/>
      <c r="CQ70" s="170"/>
      <c r="CR70" s="170"/>
      <c r="CS70" s="170"/>
      <c r="CT70" s="170"/>
      <c r="CU70" s="170"/>
      <c r="CV70" s="170"/>
      <c r="CW70" s="170"/>
      <c r="CX70" s="170"/>
      <c r="CY70" s="170"/>
    </row>
    <row r="71" spans="1:103" s="171" customFormat="1" ht="21" customHeight="1">
      <c r="A71" s="170"/>
      <c r="B71" s="165"/>
      <c r="C71" s="217"/>
      <c r="D71" s="205" t="s">
        <v>14</v>
      </c>
      <c r="E71" s="206"/>
      <c r="F71" s="206"/>
      <c r="G71" s="206"/>
      <c r="H71" s="207"/>
      <c r="I71" s="207"/>
      <c r="J71" s="206"/>
      <c r="K71" s="206"/>
      <c r="L71" s="208">
        <f>SUM(L55:L69)</f>
        <v>0</v>
      </c>
      <c r="M71" s="228"/>
      <c r="N71" s="215"/>
      <c r="O71" s="170"/>
      <c r="P71" s="21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0"/>
      <c r="BA71" s="170"/>
      <c r="BB71" s="170"/>
      <c r="BC71" s="170"/>
      <c r="BD71" s="170"/>
      <c r="BE71" s="170"/>
      <c r="BF71" s="170"/>
      <c r="BG71" s="170"/>
      <c r="BH71" s="170"/>
      <c r="BI71" s="170"/>
      <c r="BJ71" s="170"/>
      <c r="BK71" s="170"/>
      <c r="BL71" s="170"/>
      <c r="BM71" s="170"/>
      <c r="BN71" s="170"/>
      <c r="BO71" s="170"/>
      <c r="BP71" s="170"/>
      <c r="BQ71" s="170"/>
      <c r="BR71" s="170"/>
      <c r="BS71" s="170"/>
      <c r="BT71" s="170"/>
      <c r="BU71" s="170"/>
      <c r="BV71" s="170"/>
      <c r="BW71" s="170"/>
      <c r="BX71" s="170"/>
      <c r="BY71" s="170"/>
      <c r="BZ71" s="170"/>
      <c r="CA71" s="170"/>
      <c r="CB71" s="170"/>
      <c r="CC71" s="170"/>
      <c r="CD71" s="170"/>
      <c r="CE71" s="170"/>
      <c r="CF71" s="170"/>
      <c r="CG71" s="170"/>
      <c r="CH71" s="170"/>
      <c r="CI71" s="170"/>
      <c r="CJ71" s="170"/>
      <c r="CK71" s="170"/>
      <c r="CL71" s="170"/>
      <c r="CM71" s="170"/>
      <c r="CN71" s="170"/>
      <c r="CO71" s="170"/>
      <c r="CP71" s="170"/>
      <c r="CQ71" s="170"/>
      <c r="CR71" s="170"/>
      <c r="CS71" s="170"/>
      <c r="CT71" s="170"/>
      <c r="CU71" s="170"/>
      <c r="CV71" s="170"/>
      <c r="CW71" s="170"/>
      <c r="CX71" s="170"/>
      <c r="CY71" s="170"/>
    </row>
    <row r="72" spans="1:103" s="171" customFormat="1" ht="16.5" customHeight="1" thickBot="1">
      <c r="A72" s="170"/>
      <c r="B72" s="165"/>
      <c r="C72" s="165"/>
      <c r="D72" s="229"/>
      <c r="E72" s="230"/>
      <c r="F72" s="230"/>
      <c r="G72" s="230"/>
      <c r="H72" s="232"/>
      <c r="I72" s="232"/>
      <c r="J72" s="230"/>
      <c r="K72" s="230"/>
      <c r="L72" s="230"/>
      <c r="M72" s="252"/>
      <c r="N72" s="215"/>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170"/>
      <c r="BW72" s="170"/>
      <c r="BX72" s="170"/>
      <c r="BY72" s="170"/>
      <c r="BZ72" s="170"/>
      <c r="CA72" s="170"/>
      <c r="CB72" s="170"/>
      <c r="CC72" s="170"/>
      <c r="CD72" s="170"/>
      <c r="CE72" s="170"/>
      <c r="CF72" s="170"/>
      <c r="CG72" s="170"/>
      <c r="CH72" s="170"/>
      <c r="CI72" s="170"/>
      <c r="CJ72" s="170"/>
      <c r="CK72" s="170"/>
      <c r="CL72" s="170"/>
      <c r="CM72" s="170"/>
      <c r="CN72" s="170"/>
      <c r="CO72" s="170"/>
      <c r="CP72" s="170"/>
      <c r="CQ72" s="170"/>
      <c r="CR72" s="170"/>
      <c r="CS72" s="170"/>
      <c r="CT72" s="170"/>
      <c r="CU72" s="170"/>
      <c r="CV72" s="170"/>
      <c r="CW72" s="170"/>
      <c r="CX72" s="170"/>
      <c r="CY72" s="170"/>
    </row>
    <row r="73" spans="1:103" s="171" customFormat="1" ht="16.5" customHeight="1">
      <c r="A73" s="170"/>
      <c r="B73" s="165"/>
      <c r="C73" s="165"/>
      <c r="D73" s="176"/>
      <c r="E73" s="176"/>
      <c r="F73" s="176"/>
      <c r="G73" s="176"/>
      <c r="H73" s="177"/>
      <c r="I73" s="177"/>
      <c r="J73" s="176"/>
      <c r="K73" s="176"/>
      <c r="L73" s="176"/>
      <c r="M73" s="176"/>
      <c r="N73" s="177"/>
      <c r="O73" s="170"/>
      <c r="P73" s="170"/>
      <c r="Q73" s="170"/>
      <c r="R73" s="170"/>
      <c r="S73" s="170"/>
      <c r="T73" s="170"/>
      <c r="U73" s="170"/>
      <c r="V73" s="170"/>
      <c r="W73" s="170"/>
      <c r="X73" s="170"/>
      <c r="Y73" s="170"/>
      <c r="Z73" s="170"/>
      <c r="AA73" s="170"/>
      <c r="AB73" s="170"/>
      <c r="AC73" s="170"/>
      <c r="AD73" s="170"/>
      <c r="AE73" s="170"/>
      <c r="AF73" s="170"/>
      <c r="AG73" s="170"/>
      <c r="AH73" s="170"/>
      <c r="AI73" s="170"/>
      <c r="AJ73" s="170"/>
      <c r="AK73" s="170"/>
      <c r="AL73" s="170"/>
      <c r="AM73" s="170"/>
      <c r="AN73" s="170"/>
      <c r="AO73" s="170"/>
      <c r="AP73" s="170"/>
      <c r="AQ73" s="170"/>
      <c r="AR73" s="170"/>
      <c r="AS73" s="170"/>
      <c r="AT73" s="170"/>
      <c r="AU73" s="170"/>
      <c r="AV73" s="170"/>
      <c r="AW73" s="170"/>
      <c r="AX73" s="170"/>
      <c r="AY73" s="170"/>
      <c r="AZ73" s="170"/>
      <c r="BA73" s="170"/>
      <c r="BB73" s="170"/>
      <c r="BC73" s="170"/>
      <c r="BD73" s="170"/>
      <c r="BE73" s="170"/>
      <c r="BF73" s="170"/>
      <c r="BG73" s="170"/>
      <c r="BH73" s="170"/>
      <c r="BI73" s="170"/>
      <c r="BJ73" s="170"/>
      <c r="BK73" s="170"/>
      <c r="BL73" s="170"/>
      <c r="BM73" s="170"/>
      <c r="BN73" s="170"/>
      <c r="BO73" s="170"/>
      <c r="BP73" s="170"/>
      <c r="BQ73" s="170"/>
      <c r="BR73" s="170"/>
      <c r="BS73" s="170"/>
      <c r="BT73" s="170"/>
      <c r="BU73" s="170"/>
      <c r="BV73" s="170"/>
      <c r="BW73" s="170"/>
      <c r="BX73" s="170"/>
      <c r="BY73" s="170"/>
      <c r="BZ73" s="170"/>
      <c r="CA73" s="170"/>
      <c r="CB73" s="170"/>
      <c r="CC73" s="170"/>
      <c r="CD73" s="170"/>
      <c r="CE73" s="170"/>
      <c r="CF73" s="170"/>
      <c r="CG73" s="170"/>
      <c r="CH73" s="170"/>
      <c r="CI73" s="170"/>
      <c r="CJ73" s="170"/>
      <c r="CK73" s="170"/>
      <c r="CL73" s="170"/>
      <c r="CM73" s="170"/>
      <c r="CN73" s="170"/>
      <c r="CO73" s="170"/>
      <c r="CP73" s="170"/>
      <c r="CQ73" s="170"/>
      <c r="CR73" s="170"/>
      <c r="CS73" s="170"/>
      <c r="CT73" s="170"/>
      <c r="CU73" s="170"/>
      <c r="CV73" s="170"/>
      <c r="CW73" s="170"/>
      <c r="CX73" s="170"/>
      <c r="CY73" s="170"/>
    </row>
    <row r="74" spans="1:103" s="171" customFormat="1" ht="26.4" customHeight="1">
      <c r="A74" s="170"/>
      <c r="B74" s="165"/>
      <c r="C74" s="165"/>
      <c r="D74" s="399" t="s">
        <v>213</v>
      </c>
      <c r="E74" s="399"/>
      <c r="F74" s="399"/>
      <c r="G74" s="399"/>
      <c r="H74" s="399"/>
      <c r="I74" s="394"/>
      <c r="J74" s="395"/>
      <c r="K74" s="395"/>
      <c r="L74" s="396">
        <f ca="1">IFERROR('Serviceability Calc'!C19,0)</f>
        <v>0</v>
      </c>
      <c r="M74" s="176"/>
      <c r="N74" s="177"/>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c r="BD74" s="170"/>
      <c r="BE74" s="170"/>
      <c r="BF74" s="170"/>
      <c r="BG74" s="170"/>
      <c r="BH74" s="170"/>
      <c r="BI74" s="170"/>
      <c r="BJ74" s="170"/>
      <c r="BK74" s="170"/>
      <c r="BL74" s="170"/>
      <c r="BM74" s="170"/>
      <c r="BN74" s="170"/>
      <c r="BO74" s="170"/>
      <c r="BP74" s="170"/>
      <c r="BQ74" s="170"/>
      <c r="BR74" s="170"/>
      <c r="BS74" s="170"/>
      <c r="BT74" s="170"/>
      <c r="BU74" s="170"/>
      <c r="BV74" s="170"/>
      <c r="BW74" s="170"/>
      <c r="BX74" s="170"/>
      <c r="BY74" s="170"/>
      <c r="BZ74" s="170"/>
      <c r="CA74" s="170"/>
      <c r="CB74" s="170"/>
      <c r="CC74" s="170"/>
      <c r="CD74" s="170"/>
      <c r="CE74" s="170"/>
      <c r="CF74" s="170"/>
      <c r="CG74" s="170"/>
      <c r="CH74" s="170"/>
      <c r="CI74" s="170"/>
      <c r="CJ74" s="170"/>
      <c r="CK74" s="170"/>
      <c r="CL74" s="170"/>
      <c r="CM74" s="170"/>
      <c r="CN74" s="170"/>
      <c r="CO74" s="170"/>
      <c r="CP74" s="170"/>
      <c r="CQ74" s="170"/>
      <c r="CR74" s="170"/>
      <c r="CS74" s="170"/>
      <c r="CT74" s="170"/>
      <c r="CU74" s="170"/>
      <c r="CV74" s="170"/>
      <c r="CW74" s="170"/>
      <c r="CX74" s="170"/>
      <c r="CY74" s="170"/>
    </row>
    <row r="75" spans="1:103" s="171" customFormat="1" ht="26.4" customHeight="1">
      <c r="A75" s="170"/>
      <c r="B75" s="165"/>
      <c r="C75" s="165"/>
      <c r="D75" s="399"/>
      <c r="E75" s="399"/>
      <c r="F75" s="399"/>
      <c r="G75" s="399"/>
      <c r="H75" s="399"/>
      <c r="I75" s="395"/>
      <c r="J75" s="395"/>
      <c r="K75" s="395"/>
      <c r="L75" s="397"/>
      <c r="M75" s="176"/>
      <c r="N75" s="177"/>
      <c r="O75" s="253"/>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0"/>
      <c r="AP75" s="170"/>
      <c r="AQ75" s="170"/>
      <c r="AR75" s="170"/>
      <c r="AS75" s="170"/>
      <c r="AT75" s="170"/>
      <c r="AU75" s="170"/>
      <c r="AV75" s="170"/>
      <c r="AW75" s="170"/>
      <c r="AX75" s="170"/>
      <c r="AY75" s="170"/>
      <c r="AZ75" s="170"/>
      <c r="BA75" s="170"/>
      <c r="BB75" s="170"/>
      <c r="BC75" s="170"/>
      <c r="BD75" s="170"/>
      <c r="BE75" s="170"/>
      <c r="BF75" s="170"/>
      <c r="BG75" s="170"/>
      <c r="BH75" s="170"/>
      <c r="BI75" s="170"/>
      <c r="BJ75" s="170"/>
      <c r="BK75" s="170"/>
      <c r="BL75" s="170"/>
      <c r="BM75" s="170"/>
      <c r="BN75" s="170"/>
      <c r="BO75" s="170"/>
      <c r="BP75" s="170"/>
      <c r="BQ75" s="170"/>
      <c r="BR75" s="170"/>
      <c r="BS75" s="170"/>
      <c r="BT75" s="170"/>
      <c r="BU75" s="170"/>
      <c r="BV75" s="170"/>
      <c r="BW75" s="170"/>
      <c r="BX75" s="170"/>
      <c r="BY75" s="170"/>
      <c r="BZ75" s="170"/>
      <c r="CA75" s="170"/>
      <c r="CB75" s="170"/>
      <c r="CC75" s="170"/>
      <c r="CD75" s="170"/>
      <c r="CE75" s="170"/>
      <c r="CF75" s="170"/>
      <c r="CG75" s="170"/>
      <c r="CH75" s="170"/>
      <c r="CI75" s="170"/>
      <c r="CJ75" s="170"/>
      <c r="CK75" s="170"/>
      <c r="CL75" s="170"/>
      <c r="CM75" s="170"/>
      <c r="CN75" s="170"/>
      <c r="CO75" s="170"/>
      <c r="CP75" s="170"/>
      <c r="CQ75" s="170"/>
      <c r="CR75" s="170"/>
      <c r="CS75" s="170"/>
      <c r="CT75" s="170"/>
      <c r="CU75" s="170"/>
      <c r="CV75" s="170"/>
      <c r="CW75" s="170"/>
      <c r="CX75" s="170"/>
      <c r="CY75" s="170"/>
    </row>
    <row r="76" spans="1:103" s="171" customFormat="1" ht="18" customHeight="1">
      <c r="A76" s="170"/>
      <c r="B76" s="165"/>
      <c r="C76" s="165"/>
      <c r="D76" s="254"/>
      <c r="E76" s="254"/>
      <c r="F76" s="254"/>
      <c r="G76" s="254"/>
      <c r="H76" s="254"/>
      <c r="I76" s="254"/>
      <c r="J76" s="254"/>
      <c r="K76" s="254"/>
      <c r="L76" s="254"/>
      <c r="M76" s="254"/>
      <c r="N76" s="254"/>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c r="BK76" s="170"/>
      <c r="BL76" s="170"/>
      <c r="BM76" s="170"/>
      <c r="BN76" s="170"/>
      <c r="BO76" s="170"/>
      <c r="BP76" s="170"/>
      <c r="BQ76" s="170"/>
      <c r="BR76" s="170"/>
      <c r="BS76" s="170"/>
      <c r="BT76" s="170"/>
      <c r="BU76" s="170"/>
      <c r="BV76" s="170"/>
      <c r="BW76" s="170"/>
      <c r="BX76" s="170"/>
      <c r="BY76" s="170"/>
      <c r="BZ76" s="170"/>
      <c r="CA76" s="170"/>
      <c r="CB76" s="170"/>
      <c r="CC76" s="170"/>
      <c r="CD76" s="170"/>
      <c r="CE76" s="170"/>
      <c r="CF76" s="170"/>
      <c r="CG76" s="170"/>
      <c r="CH76" s="170"/>
      <c r="CI76" s="170"/>
      <c r="CJ76" s="170"/>
      <c r="CK76" s="170"/>
      <c r="CL76" s="170"/>
      <c r="CM76" s="170"/>
      <c r="CN76" s="170"/>
      <c r="CO76" s="170"/>
      <c r="CP76" s="170"/>
      <c r="CQ76" s="170"/>
      <c r="CR76" s="170"/>
      <c r="CS76" s="170"/>
      <c r="CT76" s="170"/>
      <c r="CU76" s="170"/>
      <c r="CV76" s="170"/>
      <c r="CW76" s="170"/>
      <c r="CX76" s="170"/>
      <c r="CY76" s="170"/>
    </row>
    <row r="77" spans="1:103" s="171" customFormat="1" ht="22.8">
      <c r="A77" s="170"/>
      <c r="B77" s="165"/>
      <c r="C77" s="165"/>
      <c r="D77" s="255"/>
      <c r="E77" s="256"/>
      <c r="G77" s="257"/>
      <c r="H77" s="257"/>
      <c r="I77" s="328" t="s">
        <v>25</v>
      </c>
      <c r="J77" s="329"/>
      <c r="K77" s="329"/>
      <c r="L77" s="330"/>
      <c r="M77" s="176"/>
      <c r="N77" s="177"/>
      <c r="O77" s="258"/>
      <c r="P77" s="170"/>
      <c r="Q77" s="170"/>
      <c r="R77" s="170"/>
      <c r="S77" s="170"/>
      <c r="T77" s="170"/>
      <c r="U77" s="170"/>
      <c r="V77" s="170"/>
      <c r="W77" s="170"/>
      <c r="X77" s="170"/>
      <c r="Y77" s="170"/>
      <c r="Z77" s="170"/>
      <c r="AA77" s="170"/>
      <c r="AB77" s="170"/>
      <c r="AC77" s="170"/>
      <c r="AD77" s="170"/>
      <c r="AE77" s="170"/>
      <c r="AF77" s="170"/>
      <c r="AG77" s="170"/>
      <c r="AH77" s="170"/>
      <c r="AI77" s="170"/>
      <c r="AJ77" s="170"/>
      <c r="AK77" s="170"/>
      <c r="AL77" s="170"/>
      <c r="AM77" s="170"/>
      <c r="AN77" s="170"/>
      <c r="AO77" s="170"/>
      <c r="AP77" s="170"/>
      <c r="AQ77" s="170"/>
      <c r="AR77" s="170"/>
      <c r="AS77" s="170"/>
      <c r="AT77" s="170"/>
      <c r="AU77" s="170"/>
      <c r="AV77" s="170"/>
      <c r="AW77" s="170"/>
      <c r="AX77" s="170"/>
      <c r="AY77" s="170"/>
      <c r="AZ77" s="170"/>
      <c r="BA77" s="170"/>
      <c r="BB77" s="170"/>
      <c r="BC77" s="170"/>
      <c r="BD77" s="170"/>
      <c r="BE77" s="170"/>
      <c r="BF77" s="170"/>
      <c r="BG77" s="170"/>
      <c r="BH77" s="170"/>
      <c r="BI77" s="170"/>
      <c r="BJ77" s="170"/>
      <c r="BK77" s="170"/>
      <c r="BL77" s="170"/>
      <c r="BM77" s="170"/>
      <c r="BN77" s="170"/>
      <c r="BO77" s="170"/>
      <c r="BP77" s="170"/>
      <c r="BQ77" s="170"/>
      <c r="BR77" s="170"/>
      <c r="BS77" s="170"/>
      <c r="BT77" s="170"/>
      <c r="BU77" s="170"/>
      <c r="BV77" s="170"/>
      <c r="BW77" s="170"/>
      <c r="BX77" s="170"/>
      <c r="BY77" s="170"/>
      <c r="BZ77" s="170"/>
      <c r="CA77" s="170"/>
      <c r="CB77" s="170"/>
      <c r="CC77" s="170"/>
      <c r="CD77" s="170"/>
      <c r="CE77" s="170"/>
      <c r="CF77" s="170"/>
      <c r="CG77" s="170"/>
      <c r="CH77" s="170"/>
      <c r="CI77" s="170"/>
      <c r="CJ77" s="170"/>
      <c r="CK77" s="170"/>
      <c r="CL77" s="170"/>
      <c r="CM77" s="170"/>
      <c r="CN77" s="170"/>
      <c r="CO77" s="170"/>
      <c r="CP77" s="170"/>
      <c r="CQ77" s="170"/>
      <c r="CR77" s="170"/>
      <c r="CS77" s="170"/>
      <c r="CT77" s="170"/>
      <c r="CU77" s="170"/>
      <c r="CV77" s="170"/>
      <c r="CW77" s="170"/>
      <c r="CX77" s="170"/>
      <c r="CY77" s="170"/>
    </row>
    <row r="78" spans="1:103" s="171" customFormat="1" ht="12" customHeight="1">
      <c r="A78" s="170"/>
      <c r="B78" s="165"/>
      <c r="C78" s="165"/>
      <c r="D78" s="255"/>
      <c r="E78" s="255"/>
      <c r="H78" s="259"/>
      <c r="I78" s="259"/>
      <c r="N78" s="177"/>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170"/>
      <c r="AN78" s="170"/>
      <c r="AO78" s="170"/>
      <c r="AP78" s="170"/>
      <c r="AQ78" s="170"/>
      <c r="AR78" s="170"/>
      <c r="AS78" s="170"/>
      <c r="AT78" s="170"/>
      <c r="AU78" s="170"/>
      <c r="AV78" s="170"/>
      <c r="AW78" s="170"/>
      <c r="AX78" s="170"/>
      <c r="AY78" s="170"/>
      <c r="AZ78" s="170"/>
      <c r="BA78" s="170"/>
      <c r="BB78" s="170"/>
      <c r="BC78" s="170"/>
      <c r="BD78" s="170"/>
      <c r="BE78" s="170"/>
      <c r="BF78" s="170"/>
      <c r="BG78" s="170"/>
      <c r="BH78" s="170"/>
      <c r="BI78" s="170"/>
      <c r="BJ78" s="170"/>
      <c r="BK78" s="170"/>
      <c r="BL78" s="170"/>
      <c r="BM78" s="170"/>
      <c r="BN78" s="170"/>
      <c r="BO78" s="170"/>
      <c r="BP78" s="170"/>
      <c r="BQ78" s="170"/>
      <c r="BR78" s="170"/>
      <c r="BS78" s="170"/>
      <c r="BT78" s="170"/>
      <c r="BU78" s="170"/>
      <c r="BV78" s="170"/>
      <c r="BW78" s="170"/>
      <c r="BX78" s="170"/>
      <c r="BY78" s="170"/>
      <c r="BZ78" s="170"/>
      <c r="CA78" s="170"/>
      <c r="CB78" s="170"/>
      <c r="CC78" s="170"/>
      <c r="CD78" s="170"/>
      <c r="CE78" s="170"/>
      <c r="CF78" s="170"/>
      <c r="CG78" s="170"/>
      <c r="CH78" s="170"/>
      <c r="CI78" s="170"/>
      <c r="CJ78" s="170"/>
      <c r="CK78" s="170"/>
      <c r="CL78" s="170"/>
      <c r="CM78" s="170"/>
      <c r="CN78" s="170"/>
      <c r="CO78" s="170"/>
      <c r="CP78" s="170"/>
      <c r="CQ78" s="170"/>
      <c r="CR78" s="170"/>
      <c r="CS78" s="170"/>
      <c r="CT78" s="170"/>
      <c r="CU78" s="170"/>
      <c r="CV78" s="170"/>
      <c r="CW78" s="170"/>
      <c r="CX78" s="170"/>
      <c r="CY78" s="170"/>
    </row>
    <row r="79" spans="1:103" s="171" customFormat="1" ht="18" customHeight="1">
      <c r="A79" s="170"/>
      <c r="B79" s="165"/>
      <c r="C79" s="165"/>
      <c r="D79" s="398" t="s">
        <v>80</v>
      </c>
      <c r="E79" s="398"/>
      <c r="F79" s="398"/>
      <c r="G79" s="398"/>
      <c r="H79" s="398"/>
      <c r="I79" s="398"/>
      <c r="J79" s="398"/>
      <c r="K79" s="398"/>
      <c r="L79" s="398"/>
      <c r="M79" s="260"/>
      <c r="N79" s="260"/>
      <c r="O79" s="170"/>
      <c r="P79" s="170"/>
      <c r="Q79" s="170"/>
      <c r="R79" s="170"/>
      <c r="S79" s="170"/>
      <c r="T79" s="170"/>
      <c r="U79" s="170"/>
      <c r="V79" s="170"/>
      <c r="W79" s="170"/>
      <c r="X79" s="170"/>
      <c r="Y79" s="170"/>
      <c r="Z79" s="170"/>
      <c r="AA79" s="170"/>
      <c r="AB79" s="170"/>
      <c r="AC79" s="170"/>
      <c r="AD79" s="170"/>
      <c r="AE79" s="170"/>
      <c r="AF79" s="170"/>
      <c r="AG79" s="170"/>
      <c r="AH79" s="170"/>
      <c r="AI79" s="170"/>
      <c r="AJ79" s="170"/>
      <c r="AK79" s="170"/>
      <c r="AL79" s="170"/>
      <c r="AM79" s="170"/>
      <c r="AN79" s="170"/>
      <c r="AO79" s="170"/>
      <c r="AP79" s="170"/>
      <c r="AQ79" s="170"/>
      <c r="AR79" s="170"/>
      <c r="AS79" s="170"/>
      <c r="AT79" s="170"/>
      <c r="AU79" s="170"/>
      <c r="AV79" s="170"/>
      <c r="AW79" s="170"/>
      <c r="AX79" s="170"/>
      <c r="AY79" s="170"/>
      <c r="AZ79" s="170"/>
      <c r="BA79" s="170"/>
      <c r="BB79" s="170"/>
      <c r="BC79" s="170"/>
      <c r="BD79" s="170"/>
      <c r="BE79" s="170"/>
      <c r="BF79" s="170"/>
      <c r="BG79" s="170"/>
      <c r="BH79" s="170"/>
      <c r="BI79" s="170"/>
      <c r="BJ79" s="170"/>
      <c r="BK79" s="170"/>
      <c r="BL79" s="170"/>
      <c r="BM79" s="170"/>
      <c r="BN79" s="170"/>
      <c r="BO79" s="170"/>
      <c r="BP79" s="170"/>
      <c r="BQ79" s="170"/>
      <c r="BR79" s="170"/>
      <c r="BS79" s="170"/>
      <c r="BT79" s="170"/>
      <c r="BU79" s="170"/>
      <c r="BV79" s="170"/>
      <c r="BW79" s="170"/>
      <c r="BX79" s="170"/>
      <c r="BY79" s="170"/>
      <c r="BZ79" s="170"/>
      <c r="CA79" s="170"/>
      <c r="CB79" s="170"/>
      <c r="CC79" s="170"/>
      <c r="CD79" s="170"/>
      <c r="CE79" s="170"/>
      <c r="CF79" s="170"/>
      <c r="CG79" s="170"/>
      <c r="CH79" s="170"/>
      <c r="CI79" s="170"/>
      <c r="CJ79" s="170"/>
      <c r="CK79" s="170"/>
      <c r="CL79" s="170"/>
      <c r="CM79" s="170"/>
      <c r="CN79" s="170"/>
      <c r="CO79" s="170"/>
      <c r="CP79" s="170"/>
      <c r="CQ79" s="170"/>
      <c r="CR79" s="170"/>
      <c r="CS79" s="170"/>
      <c r="CT79" s="170"/>
      <c r="CU79" s="170"/>
      <c r="CV79" s="170"/>
      <c r="CW79" s="170"/>
      <c r="CX79" s="170"/>
      <c r="CY79" s="170"/>
    </row>
    <row r="80" spans="1:103" s="171" customFormat="1" ht="27" customHeight="1">
      <c r="A80" s="170"/>
      <c r="B80" s="165"/>
      <c r="C80" s="165"/>
      <c r="D80" s="398"/>
      <c r="E80" s="398"/>
      <c r="F80" s="398"/>
      <c r="G80" s="398"/>
      <c r="H80" s="398"/>
      <c r="I80" s="398"/>
      <c r="J80" s="398"/>
      <c r="K80" s="398"/>
      <c r="L80" s="398"/>
      <c r="M80" s="260"/>
      <c r="N80" s="26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170"/>
      <c r="AZ80" s="170"/>
      <c r="BA80" s="170"/>
      <c r="BB80" s="170"/>
      <c r="BC80" s="170"/>
      <c r="BD80" s="170"/>
      <c r="BE80" s="170"/>
      <c r="BF80" s="170"/>
      <c r="BG80" s="170"/>
      <c r="BH80" s="170"/>
      <c r="BI80" s="170"/>
      <c r="BJ80" s="170"/>
      <c r="BK80" s="170"/>
      <c r="BL80" s="170"/>
      <c r="BM80" s="170"/>
      <c r="BN80" s="170"/>
      <c r="BO80" s="170"/>
      <c r="BP80" s="170"/>
      <c r="BQ80" s="170"/>
      <c r="BR80" s="170"/>
      <c r="BS80" s="170"/>
      <c r="BT80" s="170"/>
      <c r="BU80" s="170"/>
      <c r="BV80" s="170"/>
      <c r="BW80" s="170"/>
      <c r="BX80" s="170"/>
      <c r="BY80" s="170"/>
      <c r="BZ80" s="170"/>
      <c r="CA80" s="170"/>
      <c r="CB80" s="170"/>
      <c r="CC80" s="170"/>
      <c r="CD80" s="170"/>
      <c r="CE80" s="170"/>
      <c r="CF80" s="170"/>
      <c r="CG80" s="170"/>
      <c r="CH80" s="170"/>
      <c r="CI80" s="170"/>
      <c r="CJ80" s="170"/>
      <c r="CK80" s="170"/>
      <c r="CL80" s="170"/>
      <c r="CM80" s="170"/>
      <c r="CN80" s="170"/>
      <c r="CO80" s="170"/>
      <c r="CP80" s="170"/>
      <c r="CQ80" s="170"/>
      <c r="CR80" s="170"/>
      <c r="CS80" s="170"/>
      <c r="CT80" s="170"/>
      <c r="CU80" s="170"/>
      <c r="CV80" s="170"/>
      <c r="CW80" s="170"/>
      <c r="CX80" s="170"/>
      <c r="CY80" s="170"/>
    </row>
    <row r="81" spans="1:103" s="171" customFormat="1" ht="18" customHeight="1">
      <c r="A81" s="170"/>
      <c r="B81" s="165"/>
      <c r="C81" s="165"/>
      <c r="D81" s="254"/>
      <c r="E81" s="254"/>
      <c r="F81" s="254"/>
      <c r="G81" s="254"/>
      <c r="H81" s="254"/>
      <c r="I81" s="254"/>
      <c r="J81" s="254"/>
      <c r="K81" s="254"/>
      <c r="L81" s="254"/>
      <c r="M81" s="254"/>
      <c r="N81" s="254"/>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170"/>
      <c r="AP81" s="170"/>
      <c r="AQ81" s="170"/>
      <c r="AR81" s="170"/>
      <c r="AS81" s="170"/>
      <c r="AT81" s="170"/>
      <c r="AU81" s="170"/>
      <c r="AV81" s="170"/>
      <c r="AW81" s="170"/>
      <c r="AX81" s="170"/>
      <c r="AY81" s="170"/>
      <c r="AZ81" s="170"/>
      <c r="BA81" s="170"/>
      <c r="BB81" s="170"/>
      <c r="BC81" s="170"/>
      <c r="BD81" s="170"/>
      <c r="BE81" s="170"/>
      <c r="BF81" s="170"/>
      <c r="BG81" s="170"/>
      <c r="BH81" s="170"/>
      <c r="BI81" s="170"/>
      <c r="BJ81" s="170"/>
      <c r="BK81" s="170"/>
      <c r="BL81" s="170"/>
      <c r="BM81" s="170"/>
      <c r="BN81" s="170"/>
      <c r="BO81" s="170"/>
      <c r="BP81" s="170"/>
      <c r="BQ81" s="170"/>
      <c r="BR81" s="170"/>
      <c r="BS81" s="170"/>
      <c r="BT81" s="170"/>
      <c r="BU81" s="170"/>
      <c r="BV81" s="170"/>
      <c r="BW81" s="170"/>
      <c r="BX81" s="170"/>
      <c r="BY81" s="170"/>
      <c r="BZ81" s="170"/>
      <c r="CA81" s="170"/>
      <c r="CB81" s="170"/>
      <c r="CC81" s="170"/>
      <c r="CD81" s="170"/>
      <c r="CE81" s="170"/>
      <c r="CF81" s="170"/>
      <c r="CG81" s="170"/>
      <c r="CH81" s="170"/>
      <c r="CI81" s="170"/>
      <c r="CJ81" s="170"/>
      <c r="CK81" s="170"/>
      <c r="CL81" s="170"/>
      <c r="CM81" s="170"/>
      <c r="CN81" s="170"/>
      <c r="CO81" s="170"/>
      <c r="CP81" s="170"/>
      <c r="CQ81" s="170"/>
      <c r="CR81" s="170"/>
      <c r="CS81" s="170"/>
      <c r="CT81" s="170"/>
      <c r="CU81" s="170"/>
      <c r="CV81" s="170"/>
      <c r="CW81" s="170"/>
      <c r="CX81" s="170"/>
      <c r="CY81" s="170"/>
    </row>
    <row r="82" spans="1:103" s="171" customFormat="1" ht="18" customHeight="1">
      <c r="A82" s="170"/>
      <c r="B82" s="165"/>
      <c r="C82" s="165"/>
      <c r="D82" s="255"/>
      <c r="E82" s="255"/>
      <c r="H82" s="259"/>
      <c r="I82" s="259"/>
      <c r="O82" s="170"/>
      <c r="P82" s="170"/>
      <c r="Q82" s="170"/>
      <c r="R82" s="170"/>
      <c r="S82" s="170"/>
      <c r="T82" s="170"/>
      <c r="U82" s="170"/>
      <c r="V82" s="170"/>
      <c r="W82" s="170"/>
      <c r="X82" s="170"/>
      <c r="Y82" s="170"/>
      <c r="Z82" s="170"/>
      <c r="AA82" s="170"/>
      <c r="AB82" s="170"/>
      <c r="AC82" s="170"/>
      <c r="AD82" s="170"/>
      <c r="AE82" s="170"/>
      <c r="AF82" s="170"/>
      <c r="AG82" s="170"/>
      <c r="AH82" s="170"/>
      <c r="AI82" s="170"/>
      <c r="AJ82" s="170"/>
      <c r="AK82" s="170"/>
      <c r="AL82" s="170"/>
      <c r="AM82" s="170"/>
      <c r="AN82" s="170"/>
      <c r="AO82" s="170"/>
      <c r="AP82" s="170"/>
      <c r="AQ82" s="170"/>
      <c r="AR82" s="170"/>
      <c r="AS82" s="170"/>
      <c r="AT82" s="170"/>
      <c r="AU82" s="170"/>
      <c r="AV82" s="170"/>
      <c r="AW82" s="170"/>
      <c r="AX82" s="170"/>
      <c r="AY82" s="170"/>
      <c r="AZ82" s="170"/>
      <c r="BA82" s="170"/>
      <c r="BB82" s="170"/>
      <c r="BC82" s="170"/>
      <c r="BD82" s="170"/>
      <c r="BE82" s="170"/>
      <c r="BF82" s="170"/>
      <c r="BG82" s="170"/>
      <c r="BH82" s="170"/>
      <c r="BI82" s="170"/>
      <c r="BJ82" s="170"/>
      <c r="BK82" s="170"/>
      <c r="BL82" s="170"/>
      <c r="BM82" s="170"/>
      <c r="BN82" s="170"/>
      <c r="BO82" s="170"/>
      <c r="BP82" s="170"/>
      <c r="BQ82" s="170"/>
      <c r="BR82" s="170"/>
      <c r="BS82" s="170"/>
      <c r="BT82" s="170"/>
      <c r="BU82" s="170"/>
      <c r="BV82" s="170"/>
      <c r="BW82" s="170"/>
      <c r="BX82" s="170"/>
      <c r="BY82" s="170"/>
      <c r="BZ82" s="170"/>
      <c r="CA82" s="170"/>
      <c r="CB82" s="170"/>
      <c r="CC82" s="170"/>
      <c r="CD82" s="170"/>
      <c r="CE82" s="170"/>
      <c r="CF82" s="170"/>
      <c r="CG82" s="170"/>
      <c r="CH82" s="170"/>
      <c r="CI82" s="170"/>
      <c r="CJ82" s="170"/>
      <c r="CK82" s="170"/>
      <c r="CL82" s="170"/>
      <c r="CM82" s="170"/>
      <c r="CN82" s="170"/>
      <c r="CO82" s="170"/>
      <c r="CP82" s="170"/>
      <c r="CQ82" s="170"/>
      <c r="CR82" s="170"/>
      <c r="CS82" s="170"/>
      <c r="CT82" s="170"/>
      <c r="CU82" s="170"/>
      <c r="CV82" s="170"/>
      <c r="CW82" s="170"/>
      <c r="CX82" s="170"/>
      <c r="CY82" s="170"/>
    </row>
    <row r="83" spans="1:103" s="171" customFormat="1" ht="26.1" customHeight="1">
      <c r="A83" s="170"/>
      <c r="B83" s="165"/>
      <c r="C83" s="165"/>
      <c r="D83" s="255"/>
      <c r="E83" s="255"/>
      <c r="H83" s="259"/>
      <c r="I83" s="259"/>
      <c r="O83" s="170"/>
      <c r="P83" s="170"/>
      <c r="Q83" s="170"/>
      <c r="R83" s="170"/>
      <c r="S83" s="170"/>
      <c r="T83" s="170"/>
      <c r="U83" s="170"/>
      <c r="V83" s="170"/>
      <c r="W83" s="170"/>
      <c r="X83" s="170"/>
      <c r="Y83" s="170"/>
      <c r="Z83" s="170"/>
      <c r="AA83" s="170"/>
      <c r="AB83" s="170"/>
      <c r="AC83" s="170"/>
      <c r="AD83" s="170"/>
      <c r="AE83" s="170"/>
      <c r="AF83" s="170"/>
      <c r="AG83" s="170"/>
      <c r="AH83" s="170"/>
      <c r="AI83" s="170"/>
      <c r="AJ83" s="170"/>
      <c r="AK83" s="170"/>
      <c r="AL83" s="170"/>
      <c r="AM83" s="170"/>
      <c r="AN83" s="170"/>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c r="BK83" s="170"/>
      <c r="BL83" s="170"/>
      <c r="BM83" s="170"/>
      <c r="BN83" s="170"/>
      <c r="BO83" s="170"/>
      <c r="BP83" s="170"/>
      <c r="BQ83" s="170"/>
      <c r="BR83" s="170"/>
      <c r="BS83" s="170"/>
      <c r="BT83" s="170"/>
      <c r="BU83" s="170"/>
      <c r="BV83" s="170"/>
      <c r="BW83" s="170"/>
      <c r="BX83" s="170"/>
      <c r="BY83" s="170"/>
      <c r="BZ83" s="170"/>
      <c r="CA83" s="170"/>
      <c r="CB83" s="170"/>
      <c r="CC83" s="170"/>
      <c r="CD83" s="170"/>
      <c r="CE83" s="170"/>
      <c r="CF83" s="170"/>
      <c r="CG83" s="170"/>
      <c r="CH83" s="170"/>
      <c r="CI83" s="170"/>
      <c r="CJ83" s="170"/>
      <c r="CK83" s="170"/>
      <c r="CL83" s="170"/>
      <c r="CM83" s="170"/>
      <c r="CN83" s="170"/>
      <c r="CO83" s="170"/>
      <c r="CP83" s="170"/>
      <c r="CQ83" s="170"/>
      <c r="CR83" s="170"/>
      <c r="CS83" s="170"/>
      <c r="CT83" s="170"/>
      <c r="CU83" s="170"/>
      <c r="CV83" s="170"/>
      <c r="CW83" s="170"/>
      <c r="CX83" s="170"/>
      <c r="CY83" s="170"/>
    </row>
    <row r="84" spans="1:103" s="171" customFormat="1" ht="22.8">
      <c r="A84" s="170"/>
      <c r="B84" s="165"/>
      <c r="C84" s="165"/>
      <c r="D84" s="255"/>
      <c r="E84" s="255"/>
      <c r="H84" s="259"/>
      <c r="I84" s="259"/>
      <c r="M84" s="261" t="str">
        <f>'Version Control'!I1</f>
        <v>V10.12 210115</v>
      </c>
      <c r="O84" s="170"/>
      <c r="P84" s="170"/>
      <c r="Q84" s="170"/>
      <c r="R84" s="170"/>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0"/>
      <c r="BC84" s="170"/>
      <c r="BD84" s="170"/>
      <c r="BE84" s="170"/>
      <c r="BF84" s="170"/>
      <c r="BG84" s="170"/>
      <c r="BH84" s="170"/>
      <c r="BI84" s="170"/>
      <c r="BJ84" s="170"/>
      <c r="BK84" s="170"/>
      <c r="BL84" s="170"/>
      <c r="BM84" s="170"/>
      <c r="BN84" s="170"/>
      <c r="BO84" s="170"/>
      <c r="BP84" s="170"/>
      <c r="BQ84" s="170"/>
      <c r="BR84" s="170"/>
      <c r="BS84" s="170"/>
      <c r="BT84" s="170"/>
      <c r="BU84" s="170"/>
      <c r="BV84" s="170"/>
      <c r="BW84" s="170"/>
      <c r="BX84" s="170"/>
      <c r="BY84" s="170"/>
      <c r="BZ84" s="170"/>
      <c r="CA84" s="170"/>
      <c r="CB84" s="170"/>
      <c r="CC84" s="170"/>
      <c r="CD84" s="170"/>
      <c r="CE84" s="170"/>
      <c r="CF84" s="170"/>
      <c r="CG84" s="170"/>
      <c r="CH84" s="170"/>
      <c r="CI84" s="170"/>
      <c r="CJ84" s="170"/>
      <c r="CK84" s="170"/>
      <c r="CL84" s="170"/>
      <c r="CM84" s="170"/>
      <c r="CN84" s="170"/>
      <c r="CO84" s="170"/>
      <c r="CP84" s="170"/>
      <c r="CQ84" s="170"/>
      <c r="CR84" s="170"/>
      <c r="CS84" s="170"/>
      <c r="CT84" s="170"/>
      <c r="CU84" s="170"/>
      <c r="CV84" s="170"/>
      <c r="CW84" s="170"/>
      <c r="CX84" s="170"/>
      <c r="CY84" s="170"/>
    </row>
    <row r="85" spans="1:103" ht="18" customHeight="1">
      <c r="A85" s="162"/>
      <c r="B85" s="162"/>
      <c r="C85" s="162"/>
      <c r="D85" s="162"/>
      <c r="E85" s="162"/>
      <c r="F85" s="162"/>
      <c r="G85" s="162"/>
      <c r="H85" s="162"/>
      <c r="I85" s="162"/>
      <c r="J85" s="162"/>
      <c r="K85" s="162"/>
      <c r="L85" s="162"/>
      <c r="M85" s="162"/>
      <c r="N85" s="162"/>
    </row>
    <row r="86" spans="1:103" ht="18" customHeight="1">
      <c r="A86" s="162"/>
      <c r="B86" s="162"/>
      <c r="C86" s="162"/>
      <c r="D86" s="162"/>
      <c r="E86" s="162"/>
      <c r="F86" s="162"/>
      <c r="G86" s="162"/>
      <c r="H86" s="162"/>
      <c r="I86" s="162"/>
      <c r="J86" s="162"/>
      <c r="K86" s="162"/>
      <c r="L86" s="162"/>
      <c r="M86" s="162"/>
      <c r="N86" s="162"/>
    </row>
    <row r="87" spans="1:103" ht="18" customHeight="1">
      <c r="A87" s="162"/>
      <c r="B87" s="162"/>
      <c r="C87" s="162"/>
      <c r="D87" s="162"/>
      <c r="E87" s="162"/>
      <c r="F87" s="162"/>
      <c r="G87" s="162"/>
      <c r="H87" s="162"/>
      <c r="I87" s="162"/>
      <c r="J87" s="162"/>
      <c r="K87" s="162"/>
      <c r="L87" s="162"/>
      <c r="M87" s="162"/>
      <c r="N87" s="162"/>
    </row>
    <row r="88" spans="1:103" ht="18" customHeight="1">
      <c r="A88" s="162"/>
      <c r="B88" s="162"/>
      <c r="C88" s="162"/>
      <c r="D88" s="162"/>
      <c r="E88" s="162"/>
      <c r="F88" s="162"/>
      <c r="G88" s="162"/>
      <c r="H88" s="162"/>
      <c r="I88" s="162"/>
      <c r="J88" s="162"/>
      <c r="K88" s="162"/>
      <c r="L88" s="162"/>
      <c r="M88" s="162"/>
      <c r="N88" s="162"/>
    </row>
    <row r="89" spans="1:103">
      <c r="A89" s="162"/>
      <c r="B89" s="162"/>
      <c r="C89" s="162"/>
      <c r="D89" s="162"/>
      <c r="E89" s="162"/>
      <c r="F89" s="162"/>
      <c r="G89" s="162"/>
      <c r="H89" s="162"/>
      <c r="I89" s="162"/>
      <c r="J89" s="162"/>
      <c r="K89" s="162"/>
      <c r="L89" s="162"/>
      <c r="M89" s="162"/>
      <c r="N89" s="162"/>
    </row>
    <row r="90" spans="1:103" s="262" customFormat="1" ht="13.2"/>
    <row r="91" spans="1:103">
      <c r="A91" s="162"/>
      <c r="B91" s="162"/>
      <c r="C91" s="162"/>
      <c r="D91" s="162"/>
      <c r="E91" s="162"/>
      <c r="F91" s="162"/>
      <c r="G91" s="162"/>
      <c r="H91" s="163"/>
      <c r="I91" s="163"/>
      <c r="J91" s="162"/>
      <c r="K91" s="162"/>
      <c r="L91" s="162"/>
      <c r="M91" s="162"/>
      <c r="N91" s="162"/>
    </row>
    <row r="92" spans="1:103">
      <c r="A92" s="162"/>
      <c r="B92" s="162"/>
      <c r="C92" s="162"/>
      <c r="D92" s="162"/>
      <c r="E92" s="162"/>
      <c r="F92" s="162"/>
      <c r="G92" s="162"/>
      <c r="H92" s="163"/>
      <c r="I92" s="163"/>
      <c r="J92" s="162"/>
      <c r="K92" s="162"/>
      <c r="L92" s="162"/>
      <c r="M92" s="162"/>
      <c r="N92" s="162"/>
    </row>
    <row r="93" spans="1:103">
      <c r="A93" s="162"/>
      <c r="B93" s="162"/>
      <c r="C93" s="162"/>
      <c r="D93" s="162"/>
      <c r="E93" s="162"/>
      <c r="F93" s="162"/>
      <c r="G93" s="162"/>
      <c r="H93" s="163"/>
      <c r="I93" s="163"/>
      <c r="J93" s="162"/>
      <c r="K93" s="162"/>
      <c r="L93" s="162"/>
      <c r="M93" s="162"/>
      <c r="N93" s="162"/>
    </row>
    <row r="94" spans="1:103">
      <c r="A94" s="162"/>
      <c r="B94" s="162"/>
      <c r="C94" s="162"/>
      <c r="D94" s="162"/>
      <c r="E94" s="162"/>
      <c r="F94" s="162"/>
      <c r="G94" s="162"/>
      <c r="H94" s="163"/>
      <c r="I94" s="163"/>
      <c r="J94" s="162"/>
      <c r="K94" s="162"/>
      <c r="L94" s="162"/>
      <c r="M94" s="162"/>
      <c r="N94" s="162"/>
    </row>
    <row r="95" spans="1:103">
      <c r="A95" s="162"/>
      <c r="B95" s="162"/>
      <c r="C95" s="162"/>
      <c r="D95" s="162"/>
      <c r="E95" s="162"/>
      <c r="F95" s="162"/>
      <c r="G95" s="162"/>
      <c r="H95" s="163"/>
      <c r="I95" s="163"/>
      <c r="J95" s="162"/>
      <c r="K95" s="162"/>
      <c r="L95" s="162"/>
      <c r="M95" s="162"/>
      <c r="N95" s="162"/>
    </row>
    <row r="96" spans="1:103">
      <c r="A96" s="162"/>
      <c r="B96" s="162"/>
      <c r="C96" s="162"/>
      <c r="D96" s="162"/>
      <c r="E96" s="162"/>
      <c r="F96" s="162"/>
      <c r="G96" s="162"/>
      <c r="H96" s="163"/>
      <c r="I96" s="163"/>
      <c r="J96" s="162"/>
      <c r="K96" s="162"/>
      <c r="L96" s="162"/>
      <c r="M96" s="162"/>
      <c r="N96" s="162"/>
    </row>
    <row r="97" spans="1:14">
      <c r="A97" s="162"/>
      <c r="B97" s="162"/>
      <c r="C97" s="162"/>
      <c r="D97" s="162"/>
      <c r="E97" s="162"/>
      <c r="F97" s="162"/>
      <c r="G97" s="162"/>
      <c r="H97" s="163"/>
      <c r="I97" s="163"/>
      <c r="J97" s="162"/>
      <c r="K97" s="162"/>
      <c r="L97" s="162"/>
      <c r="M97" s="162"/>
      <c r="N97" s="162"/>
    </row>
    <row r="98" spans="1:14">
      <c r="A98" s="162"/>
      <c r="B98" s="162"/>
      <c r="C98" s="162"/>
      <c r="D98" s="162"/>
      <c r="E98" s="162"/>
      <c r="F98" s="162"/>
      <c r="G98" s="162"/>
      <c r="H98" s="163"/>
      <c r="I98" s="163"/>
      <c r="J98" s="162"/>
      <c r="K98" s="162"/>
      <c r="L98" s="162"/>
      <c r="M98" s="162"/>
      <c r="N98" s="162"/>
    </row>
    <row r="99" spans="1:14">
      <c r="A99" s="162"/>
      <c r="B99" s="162"/>
      <c r="C99" s="162"/>
      <c r="D99" s="162"/>
      <c r="E99" s="162"/>
      <c r="F99" s="162"/>
      <c r="G99" s="162"/>
      <c r="H99" s="163"/>
      <c r="I99" s="163"/>
      <c r="J99" s="162"/>
      <c r="K99" s="162"/>
      <c r="L99" s="162"/>
      <c r="M99" s="162"/>
      <c r="N99" s="162"/>
    </row>
    <row r="100" spans="1:14">
      <c r="A100" s="162"/>
      <c r="B100" s="162"/>
      <c r="C100" s="162"/>
      <c r="D100" s="162"/>
      <c r="E100" s="162"/>
      <c r="F100" s="162"/>
      <c r="G100" s="162"/>
      <c r="H100" s="163"/>
      <c r="I100" s="163"/>
      <c r="J100" s="162"/>
      <c r="K100" s="162"/>
      <c r="L100" s="162"/>
      <c r="M100" s="162"/>
      <c r="N100" s="162"/>
    </row>
    <row r="101" spans="1:14">
      <c r="A101" s="162"/>
      <c r="B101" s="162"/>
      <c r="C101" s="162"/>
      <c r="D101" s="162"/>
      <c r="E101" s="162"/>
      <c r="F101" s="162"/>
      <c r="G101" s="162"/>
      <c r="H101" s="163"/>
      <c r="I101" s="163"/>
      <c r="J101" s="162"/>
      <c r="K101" s="162"/>
      <c r="L101" s="162"/>
      <c r="M101" s="162"/>
      <c r="N101" s="162"/>
    </row>
    <row r="102" spans="1:14">
      <c r="A102" s="162"/>
      <c r="B102" s="162"/>
      <c r="C102" s="162"/>
      <c r="D102" s="162"/>
      <c r="E102" s="162"/>
      <c r="F102" s="162"/>
      <c r="G102" s="162"/>
      <c r="H102" s="163"/>
      <c r="I102" s="163"/>
      <c r="J102" s="162"/>
      <c r="K102" s="162"/>
      <c r="L102" s="162"/>
      <c r="M102" s="162"/>
      <c r="N102" s="162"/>
    </row>
    <row r="103" spans="1:14">
      <c r="A103" s="162"/>
      <c r="B103" s="162"/>
      <c r="C103" s="162"/>
      <c r="D103" s="162"/>
      <c r="E103" s="162"/>
      <c r="F103" s="162"/>
      <c r="G103" s="162"/>
      <c r="H103" s="163"/>
      <c r="I103" s="163"/>
      <c r="J103" s="162"/>
      <c r="K103" s="162"/>
      <c r="L103" s="162"/>
      <c r="M103" s="162"/>
      <c r="N103" s="162"/>
    </row>
    <row r="104" spans="1:14">
      <c r="A104" s="162"/>
      <c r="B104" s="162"/>
      <c r="C104" s="162"/>
      <c r="D104" s="162"/>
      <c r="E104" s="162"/>
      <c r="F104" s="162"/>
      <c r="G104" s="162"/>
      <c r="H104" s="163"/>
      <c r="I104" s="163"/>
      <c r="J104" s="162"/>
      <c r="K104" s="162"/>
      <c r="L104" s="162"/>
      <c r="M104" s="162"/>
      <c r="N104" s="162"/>
    </row>
    <row r="105" spans="1:14">
      <c r="A105" s="162"/>
      <c r="B105" s="162"/>
      <c r="C105" s="162"/>
      <c r="D105" s="162"/>
      <c r="E105" s="162"/>
      <c r="F105" s="162"/>
      <c r="G105" s="162"/>
      <c r="H105" s="163"/>
      <c r="I105" s="163"/>
      <c r="J105" s="162"/>
      <c r="K105" s="162"/>
      <c r="L105" s="162"/>
      <c r="M105" s="162"/>
      <c r="N105" s="162"/>
    </row>
    <row r="106" spans="1:14">
      <c r="A106" s="162"/>
      <c r="B106" s="162"/>
      <c r="C106" s="162"/>
      <c r="D106" s="162"/>
      <c r="E106" s="162"/>
      <c r="F106" s="162"/>
      <c r="G106" s="162"/>
      <c r="H106" s="163"/>
      <c r="I106" s="163"/>
      <c r="J106" s="162"/>
      <c r="K106" s="162"/>
      <c r="L106" s="162"/>
      <c r="M106" s="162"/>
      <c r="N106" s="162"/>
    </row>
    <row r="107" spans="1:14">
      <c r="A107" s="162"/>
      <c r="B107" s="162"/>
      <c r="C107" s="162"/>
      <c r="D107" s="162"/>
      <c r="E107" s="162"/>
      <c r="F107" s="162"/>
      <c r="G107" s="162"/>
      <c r="H107" s="163"/>
      <c r="I107" s="163"/>
      <c r="J107" s="162"/>
      <c r="K107" s="162"/>
      <c r="L107" s="162"/>
      <c r="M107" s="162"/>
      <c r="N107" s="162"/>
    </row>
    <row r="108" spans="1:14">
      <c r="A108" s="162"/>
      <c r="B108" s="162"/>
      <c r="C108" s="162"/>
      <c r="D108" s="162"/>
      <c r="E108" s="162"/>
      <c r="F108" s="162"/>
      <c r="G108" s="162"/>
      <c r="H108" s="163"/>
      <c r="I108" s="163"/>
      <c r="J108" s="162"/>
      <c r="K108" s="162"/>
      <c r="L108" s="162"/>
      <c r="M108" s="162"/>
      <c r="N108" s="162"/>
    </row>
    <row r="109" spans="1:14">
      <c r="A109" s="162"/>
      <c r="B109" s="162"/>
      <c r="C109" s="162"/>
      <c r="D109" s="162"/>
      <c r="E109" s="162"/>
      <c r="F109" s="162"/>
      <c r="G109" s="162"/>
      <c r="H109" s="163"/>
      <c r="I109" s="163"/>
      <c r="J109" s="162"/>
      <c r="K109" s="162"/>
      <c r="L109" s="162"/>
      <c r="M109" s="162"/>
      <c r="N109" s="162"/>
    </row>
    <row r="110" spans="1:14">
      <c r="A110" s="162"/>
      <c r="B110" s="162"/>
      <c r="C110" s="162"/>
      <c r="D110" s="162"/>
      <c r="E110" s="162"/>
      <c r="F110" s="162"/>
      <c r="G110" s="162"/>
      <c r="H110" s="163"/>
      <c r="I110" s="163"/>
      <c r="J110" s="162"/>
      <c r="K110" s="162"/>
      <c r="L110" s="162"/>
      <c r="M110" s="162"/>
      <c r="N110" s="162"/>
    </row>
    <row r="111" spans="1:14">
      <c r="A111" s="162"/>
      <c r="B111" s="162"/>
      <c r="C111" s="162"/>
      <c r="D111" s="162"/>
      <c r="E111" s="162"/>
      <c r="F111" s="162"/>
      <c r="G111" s="162"/>
      <c r="H111" s="163"/>
      <c r="I111" s="163"/>
      <c r="J111" s="162"/>
      <c r="K111" s="162"/>
      <c r="L111" s="162"/>
      <c r="M111" s="162"/>
      <c r="N111" s="162"/>
    </row>
    <row r="112" spans="1:14">
      <c r="A112" s="162"/>
      <c r="B112" s="162"/>
      <c r="C112" s="162"/>
      <c r="D112" s="162"/>
      <c r="E112" s="162"/>
      <c r="F112" s="162"/>
      <c r="G112" s="162"/>
      <c r="H112" s="163"/>
      <c r="I112" s="163"/>
      <c r="J112" s="162"/>
      <c r="K112" s="162"/>
      <c r="L112" s="162"/>
      <c r="M112" s="162"/>
      <c r="N112" s="162"/>
    </row>
    <row r="113" spans="1:14">
      <c r="A113" s="162"/>
      <c r="B113" s="162"/>
      <c r="C113" s="162"/>
      <c r="D113" s="162"/>
      <c r="E113" s="162"/>
      <c r="F113" s="162"/>
      <c r="G113" s="162"/>
      <c r="H113" s="163"/>
      <c r="I113" s="163"/>
      <c r="J113" s="162"/>
      <c r="K113" s="162"/>
      <c r="L113" s="162"/>
      <c r="M113" s="162"/>
      <c r="N113" s="162"/>
    </row>
    <row r="114" spans="1:14">
      <c r="A114" s="162"/>
      <c r="B114" s="162"/>
      <c r="C114" s="162"/>
      <c r="D114" s="162"/>
      <c r="E114" s="162"/>
      <c r="F114" s="162"/>
      <c r="G114" s="162"/>
      <c r="H114" s="163"/>
      <c r="I114" s="163"/>
      <c r="J114" s="162"/>
      <c r="K114" s="162"/>
      <c r="L114" s="162"/>
      <c r="M114" s="162"/>
      <c r="N114" s="162"/>
    </row>
    <row r="115" spans="1:14">
      <c r="A115" s="162"/>
      <c r="B115" s="162"/>
      <c r="C115" s="162"/>
      <c r="D115" s="162"/>
      <c r="E115" s="162"/>
      <c r="F115" s="162"/>
      <c r="G115" s="162"/>
      <c r="H115" s="163"/>
      <c r="I115" s="163"/>
      <c r="J115" s="162"/>
      <c r="K115" s="162"/>
      <c r="L115" s="162"/>
      <c r="M115" s="162"/>
      <c r="N115" s="162"/>
    </row>
    <row r="116" spans="1:14" s="162" customFormat="1">
      <c r="H116" s="163"/>
      <c r="I116" s="163"/>
    </row>
    <row r="117" spans="1:14" s="162" customFormat="1">
      <c r="H117" s="163"/>
      <c r="I117" s="163"/>
    </row>
    <row r="118" spans="1:14" s="162" customFormat="1">
      <c r="H118" s="163"/>
      <c r="I118" s="163"/>
    </row>
    <row r="119" spans="1:14" s="162" customFormat="1">
      <c r="H119" s="163"/>
      <c r="I119" s="163"/>
    </row>
    <row r="120" spans="1:14" s="162" customFormat="1">
      <c r="H120" s="163"/>
      <c r="I120" s="163"/>
    </row>
    <row r="121" spans="1:14" s="162" customFormat="1">
      <c r="H121" s="163"/>
      <c r="I121" s="163"/>
    </row>
    <row r="122" spans="1:14" s="162" customFormat="1">
      <c r="H122" s="163"/>
      <c r="I122" s="163"/>
    </row>
    <row r="123" spans="1:14" s="162" customFormat="1">
      <c r="H123" s="163"/>
      <c r="I123" s="163"/>
    </row>
    <row r="124" spans="1:14" s="162" customFormat="1">
      <c r="H124" s="163"/>
      <c r="I124" s="163"/>
    </row>
    <row r="125" spans="1:14" s="162" customFormat="1">
      <c r="H125" s="163"/>
      <c r="I125" s="163"/>
    </row>
    <row r="126" spans="1:14" s="162" customFormat="1">
      <c r="H126" s="163"/>
      <c r="I126" s="163"/>
    </row>
    <row r="127" spans="1:14" s="162" customFormat="1">
      <c r="H127" s="163"/>
      <c r="I127" s="163"/>
    </row>
    <row r="128" spans="1:14" s="162" customFormat="1">
      <c r="H128" s="163"/>
      <c r="I128" s="163"/>
    </row>
    <row r="129" spans="8:9" s="162" customFormat="1">
      <c r="H129" s="163"/>
      <c r="I129" s="163"/>
    </row>
    <row r="130" spans="8:9" s="162" customFormat="1">
      <c r="H130" s="163"/>
      <c r="I130" s="163"/>
    </row>
    <row r="131" spans="8:9" s="162" customFormat="1">
      <c r="H131" s="163"/>
      <c r="I131" s="163"/>
    </row>
    <row r="132" spans="8:9" s="162" customFormat="1">
      <c r="H132" s="163"/>
      <c r="I132" s="163"/>
    </row>
    <row r="133" spans="8:9" s="162" customFormat="1">
      <c r="H133" s="163"/>
      <c r="I133" s="163"/>
    </row>
    <row r="134" spans="8:9" s="162" customFormat="1">
      <c r="H134" s="163"/>
      <c r="I134" s="163"/>
    </row>
    <row r="135" spans="8:9" s="162" customFormat="1">
      <c r="H135" s="163"/>
      <c r="I135" s="163"/>
    </row>
    <row r="136" spans="8:9" s="162" customFormat="1">
      <c r="H136" s="163"/>
      <c r="I136" s="163"/>
    </row>
    <row r="137" spans="8:9" s="162" customFormat="1">
      <c r="H137" s="163"/>
      <c r="I137" s="163"/>
    </row>
    <row r="138" spans="8:9" s="162" customFormat="1">
      <c r="H138" s="163"/>
      <c r="I138" s="163"/>
    </row>
    <row r="139" spans="8:9" s="162" customFormat="1">
      <c r="H139" s="163"/>
      <c r="I139" s="163"/>
    </row>
    <row r="140" spans="8:9" s="162" customFormat="1">
      <c r="H140" s="163"/>
      <c r="I140" s="163"/>
    </row>
    <row r="141" spans="8:9" s="162" customFormat="1">
      <c r="H141" s="163"/>
      <c r="I141" s="163"/>
    </row>
    <row r="142" spans="8:9" s="162" customFormat="1">
      <c r="H142" s="163"/>
      <c r="I142" s="163"/>
    </row>
    <row r="143" spans="8:9" s="162" customFormat="1">
      <c r="H143" s="163"/>
      <c r="I143" s="163"/>
    </row>
    <row r="144" spans="8:9" s="162" customFormat="1">
      <c r="H144" s="163"/>
      <c r="I144" s="163"/>
    </row>
    <row r="145" spans="8:9" s="162" customFormat="1">
      <c r="H145" s="163"/>
      <c r="I145" s="163"/>
    </row>
    <row r="146" spans="8:9" s="162" customFormat="1">
      <c r="H146" s="163"/>
      <c r="I146" s="163"/>
    </row>
    <row r="147" spans="8:9" s="162" customFormat="1">
      <c r="H147" s="163"/>
      <c r="I147" s="163"/>
    </row>
    <row r="148" spans="8:9" s="162" customFormat="1">
      <c r="H148" s="163"/>
      <c r="I148" s="163"/>
    </row>
    <row r="149" spans="8:9" s="162" customFormat="1">
      <c r="H149" s="163"/>
      <c r="I149" s="163"/>
    </row>
    <row r="150" spans="8:9" s="162" customFormat="1">
      <c r="H150" s="163"/>
      <c r="I150" s="163"/>
    </row>
    <row r="151" spans="8:9" s="162" customFormat="1">
      <c r="H151" s="163"/>
      <c r="I151" s="163"/>
    </row>
    <row r="152" spans="8:9" s="162" customFormat="1">
      <c r="H152" s="163"/>
      <c r="I152" s="163"/>
    </row>
    <row r="153" spans="8:9" s="162" customFormat="1">
      <c r="H153" s="163"/>
      <c r="I153" s="163"/>
    </row>
    <row r="154" spans="8:9" s="162" customFormat="1">
      <c r="H154" s="163"/>
      <c r="I154" s="163"/>
    </row>
    <row r="155" spans="8:9" s="162" customFormat="1">
      <c r="H155" s="163"/>
      <c r="I155" s="163"/>
    </row>
    <row r="156" spans="8:9" s="162" customFormat="1">
      <c r="H156" s="163"/>
      <c r="I156" s="163"/>
    </row>
    <row r="157" spans="8:9" s="162" customFormat="1">
      <c r="H157" s="163"/>
      <c r="I157" s="163"/>
    </row>
    <row r="158" spans="8:9" s="162" customFormat="1">
      <c r="H158" s="163"/>
      <c r="I158" s="163"/>
    </row>
    <row r="159" spans="8:9" s="162" customFormat="1">
      <c r="H159" s="163"/>
      <c r="I159" s="163"/>
    </row>
    <row r="160" spans="8:9" s="162" customFormat="1">
      <c r="H160" s="163"/>
      <c r="I160" s="163"/>
    </row>
    <row r="161" spans="8:9" s="162" customFormat="1">
      <c r="H161" s="163"/>
      <c r="I161" s="163"/>
    </row>
    <row r="162" spans="8:9" s="162" customFormat="1">
      <c r="H162" s="163"/>
      <c r="I162" s="163"/>
    </row>
    <row r="163" spans="8:9" s="162" customFormat="1">
      <c r="H163" s="163"/>
      <c r="I163" s="163"/>
    </row>
    <row r="164" spans="8:9" s="162" customFormat="1">
      <c r="H164" s="163"/>
      <c r="I164" s="163"/>
    </row>
    <row r="165" spans="8:9" s="162" customFormat="1">
      <c r="H165" s="163"/>
      <c r="I165" s="163"/>
    </row>
    <row r="166" spans="8:9" s="162" customFormat="1">
      <c r="H166" s="163"/>
      <c r="I166" s="163"/>
    </row>
    <row r="167" spans="8:9" s="162" customFormat="1">
      <c r="H167" s="163"/>
      <c r="I167" s="163"/>
    </row>
    <row r="168" spans="8:9" s="162" customFormat="1">
      <c r="H168" s="163"/>
      <c r="I168" s="163"/>
    </row>
    <row r="169" spans="8:9" s="162" customFormat="1">
      <c r="H169" s="163"/>
      <c r="I169" s="163"/>
    </row>
    <row r="170" spans="8:9" s="162" customFormat="1">
      <c r="H170" s="163"/>
      <c r="I170" s="163"/>
    </row>
    <row r="171" spans="8:9" s="162" customFormat="1">
      <c r="H171" s="163"/>
      <c r="I171" s="163"/>
    </row>
    <row r="172" spans="8:9" s="162" customFormat="1">
      <c r="H172" s="163"/>
      <c r="I172" s="163"/>
    </row>
    <row r="173" spans="8:9" s="162" customFormat="1">
      <c r="H173" s="163"/>
      <c r="I173" s="163"/>
    </row>
    <row r="174" spans="8:9" s="162" customFormat="1">
      <c r="H174" s="163"/>
      <c r="I174" s="163"/>
    </row>
    <row r="175" spans="8:9" s="162" customFormat="1">
      <c r="H175" s="163"/>
      <c r="I175" s="163"/>
    </row>
    <row r="176" spans="8:9" s="162" customFormat="1">
      <c r="H176" s="163"/>
      <c r="I176" s="163"/>
    </row>
    <row r="177" spans="8:9" s="162" customFormat="1">
      <c r="H177" s="163"/>
      <c r="I177" s="163"/>
    </row>
    <row r="178" spans="8:9" s="162" customFormat="1">
      <c r="H178" s="163"/>
      <c r="I178" s="163"/>
    </row>
    <row r="179" spans="8:9" s="162" customFormat="1">
      <c r="H179" s="163"/>
      <c r="I179" s="163"/>
    </row>
    <row r="180" spans="8:9" s="162" customFormat="1">
      <c r="H180" s="163"/>
      <c r="I180" s="163"/>
    </row>
    <row r="181" spans="8:9" s="162" customFormat="1">
      <c r="H181" s="163"/>
      <c r="I181" s="163"/>
    </row>
    <row r="182" spans="8:9" s="162" customFormat="1">
      <c r="H182" s="163"/>
      <c r="I182" s="163"/>
    </row>
    <row r="183" spans="8:9" s="162" customFormat="1">
      <c r="H183" s="163"/>
      <c r="I183" s="163"/>
    </row>
    <row r="184" spans="8:9" s="162" customFormat="1">
      <c r="H184" s="163"/>
      <c r="I184" s="163"/>
    </row>
    <row r="185" spans="8:9" s="162" customFormat="1">
      <c r="H185" s="163"/>
      <c r="I185" s="163"/>
    </row>
    <row r="186" spans="8:9" s="162" customFormat="1">
      <c r="H186" s="163"/>
      <c r="I186" s="163"/>
    </row>
    <row r="187" spans="8:9" s="162" customFormat="1">
      <c r="H187" s="163"/>
      <c r="I187" s="163"/>
    </row>
    <row r="188" spans="8:9" s="162" customFormat="1">
      <c r="H188" s="163"/>
      <c r="I188" s="163"/>
    </row>
    <row r="189" spans="8:9" s="162" customFormat="1">
      <c r="H189" s="163"/>
      <c r="I189" s="163"/>
    </row>
    <row r="190" spans="8:9" s="162" customFormat="1">
      <c r="H190" s="163"/>
      <c r="I190" s="163"/>
    </row>
    <row r="191" spans="8:9" s="162" customFormat="1">
      <c r="H191" s="163"/>
      <c r="I191" s="163"/>
    </row>
    <row r="192" spans="8:9" s="162" customFormat="1">
      <c r="H192" s="163"/>
      <c r="I192" s="163"/>
    </row>
    <row r="193" spans="8:9" s="162" customFormat="1">
      <c r="H193" s="163"/>
      <c r="I193" s="163"/>
    </row>
    <row r="194" spans="8:9" s="162" customFormat="1">
      <c r="H194" s="163"/>
      <c r="I194" s="163"/>
    </row>
    <row r="195" spans="8:9" s="162" customFormat="1">
      <c r="H195" s="163"/>
      <c r="I195" s="163"/>
    </row>
    <row r="196" spans="8:9" s="162" customFormat="1">
      <c r="H196" s="163"/>
      <c r="I196" s="163"/>
    </row>
    <row r="197" spans="8:9" s="162" customFormat="1">
      <c r="H197" s="163"/>
      <c r="I197" s="163"/>
    </row>
    <row r="198" spans="8:9" s="162" customFormat="1">
      <c r="H198" s="163"/>
      <c r="I198" s="163"/>
    </row>
    <row r="199" spans="8:9" s="162" customFormat="1">
      <c r="H199" s="163"/>
      <c r="I199" s="163"/>
    </row>
    <row r="200" spans="8:9" s="162" customFormat="1">
      <c r="H200" s="163"/>
      <c r="I200" s="163"/>
    </row>
    <row r="201" spans="8:9" s="162" customFormat="1">
      <c r="H201" s="163"/>
      <c r="I201" s="163"/>
    </row>
    <row r="202" spans="8:9" s="162" customFormat="1">
      <c r="H202" s="163"/>
      <c r="I202" s="163"/>
    </row>
    <row r="203" spans="8:9" s="162" customFormat="1">
      <c r="H203" s="163"/>
      <c r="I203" s="163"/>
    </row>
    <row r="204" spans="8:9" s="162" customFormat="1">
      <c r="H204" s="163"/>
      <c r="I204" s="163"/>
    </row>
    <row r="205" spans="8:9" s="162" customFormat="1">
      <c r="H205" s="163"/>
      <c r="I205" s="163"/>
    </row>
    <row r="206" spans="8:9" s="162" customFormat="1">
      <c r="H206" s="163"/>
      <c r="I206" s="163"/>
    </row>
    <row r="207" spans="8:9" s="162" customFormat="1">
      <c r="H207" s="163"/>
      <c r="I207" s="163"/>
    </row>
    <row r="208" spans="8:9" s="162" customFormat="1">
      <c r="H208" s="163"/>
      <c r="I208" s="163"/>
    </row>
    <row r="209" spans="8:9" s="162" customFormat="1">
      <c r="H209" s="163"/>
      <c r="I209" s="163"/>
    </row>
    <row r="210" spans="8:9" s="162" customFormat="1">
      <c r="H210" s="163"/>
      <c r="I210" s="163"/>
    </row>
    <row r="211" spans="8:9" s="162" customFormat="1">
      <c r="H211" s="163"/>
      <c r="I211" s="163"/>
    </row>
    <row r="212" spans="8:9" s="162" customFormat="1">
      <c r="H212" s="163"/>
      <c r="I212" s="163"/>
    </row>
    <row r="213" spans="8:9" s="162" customFormat="1">
      <c r="H213" s="163"/>
      <c r="I213" s="163"/>
    </row>
    <row r="214" spans="8:9" s="162" customFormat="1">
      <c r="H214" s="163"/>
      <c r="I214" s="163"/>
    </row>
    <row r="215" spans="8:9" s="162" customFormat="1">
      <c r="H215" s="163"/>
      <c r="I215" s="163"/>
    </row>
    <row r="216" spans="8:9" s="162" customFormat="1">
      <c r="H216" s="163"/>
      <c r="I216" s="163"/>
    </row>
    <row r="217" spans="8:9" s="162" customFormat="1">
      <c r="H217" s="163"/>
      <c r="I217" s="163"/>
    </row>
    <row r="218" spans="8:9" s="162" customFormat="1">
      <c r="H218" s="163"/>
      <c r="I218" s="163"/>
    </row>
    <row r="219" spans="8:9" s="162" customFormat="1">
      <c r="H219" s="163"/>
      <c r="I219" s="163"/>
    </row>
    <row r="220" spans="8:9" s="162" customFormat="1">
      <c r="H220" s="163"/>
      <c r="I220" s="163"/>
    </row>
    <row r="221" spans="8:9" s="162" customFormat="1">
      <c r="H221" s="163"/>
      <c r="I221" s="163"/>
    </row>
    <row r="222" spans="8:9" s="162" customFormat="1">
      <c r="H222" s="163"/>
      <c r="I222" s="163"/>
    </row>
    <row r="223" spans="8:9" s="162" customFormat="1">
      <c r="H223" s="163"/>
      <c r="I223" s="163"/>
    </row>
    <row r="224" spans="8:9" s="162" customFormat="1">
      <c r="H224" s="163"/>
      <c r="I224" s="163"/>
    </row>
    <row r="225" spans="8:9" s="162" customFormat="1">
      <c r="H225" s="163"/>
      <c r="I225" s="163"/>
    </row>
    <row r="226" spans="8:9" s="162" customFormat="1">
      <c r="H226" s="163"/>
      <c r="I226" s="163"/>
    </row>
    <row r="227" spans="8:9" s="162" customFormat="1">
      <c r="H227" s="163"/>
      <c r="I227" s="163"/>
    </row>
    <row r="228" spans="8:9" s="162" customFormat="1">
      <c r="H228" s="163"/>
      <c r="I228" s="163"/>
    </row>
    <row r="229" spans="8:9" s="162" customFormat="1">
      <c r="H229" s="163"/>
      <c r="I229" s="163"/>
    </row>
    <row r="230" spans="8:9" s="162" customFormat="1">
      <c r="H230" s="163"/>
      <c r="I230" s="163"/>
    </row>
    <row r="231" spans="8:9" s="162" customFormat="1">
      <c r="H231" s="163"/>
      <c r="I231" s="163"/>
    </row>
    <row r="232" spans="8:9" s="162" customFormat="1">
      <c r="H232" s="163"/>
      <c r="I232" s="163"/>
    </row>
    <row r="233" spans="8:9" s="162" customFormat="1">
      <c r="H233" s="163"/>
      <c r="I233" s="163"/>
    </row>
    <row r="234" spans="8:9" s="162" customFormat="1">
      <c r="H234" s="163"/>
      <c r="I234" s="163"/>
    </row>
  </sheetData>
  <sheetProtection algorithmName="SHA-512" hashValue="eS22whyR0si06GcyHXzUvYp5VPVN/OH4Ad6hWs3KOoSuiXv11NRBHgmlr2Jz3x8YKl62QwELe9lcTkVkKVlFSg==" saltValue="qC5+6DvFfZy0BWI68PONAw==" spinCount="100000" sheet="1" objects="1" scenarios="1" selectLockedCells="1"/>
  <mergeCells count="9">
    <mergeCell ref="G18:I18"/>
    <mergeCell ref="G58:J58"/>
    <mergeCell ref="I74:K75"/>
    <mergeCell ref="L74:L75"/>
    <mergeCell ref="D79:L80"/>
    <mergeCell ref="D74:H75"/>
    <mergeCell ref="H41:M41"/>
    <mergeCell ref="H43:M43"/>
    <mergeCell ref="D31:L31"/>
  </mergeCells>
  <phoneticPr fontId="3" type="noConversion"/>
  <conditionalFormatting sqref="D31:L31">
    <cfRule type="cellIs" dxfId="18" priority="1" operator="notEqual">
      <formula>0</formula>
    </cfRule>
  </conditionalFormatting>
  <dataValidations count="1">
    <dataValidation type="whole" allowBlank="1" showInputMessage="1" showErrorMessage="1" sqref="H55:H56" xr:uid="{A6F28375-F003-4C40-B4E9-61A12B9E5DDD}">
      <formula1>1</formula1>
      <formula2>40</formula2>
    </dataValidation>
  </dataValidations>
  <pageMargins left="0.43307086614173229" right="0.19685039370078741" top="0.23622047244094491" bottom="0.23622047244094491" header="0.15748031496062992" footer="0"/>
  <pageSetup paperSize="9" scale="4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Pict="0" macro="[0]!Sheet1.clear_cells">
                <anchor moveWithCells="1" sizeWithCells="1">
                  <from>
                    <xdr:col>11</xdr:col>
                    <xdr:colOff>38100</xdr:colOff>
                    <xdr:row>6</xdr:row>
                    <xdr:rowOff>182880</xdr:rowOff>
                  </from>
                  <to>
                    <xdr:col>11</xdr:col>
                    <xdr:colOff>990600</xdr:colOff>
                    <xdr:row>7</xdr:row>
                    <xdr:rowOff>419100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Tables!$A$68:$A$69</xm:f>
          </x14:formula1>
          <xm:sqref>F19:F22 F13:F16</xm:sqref>
        </x14:dataValidation>
        <x14:dataValidation type="list" allowBlank="1" showInputMessage="1" showErrorMessage="1" xr:uid="{00000000-0002-0000-0000-000001000000}">
          <x14:formula1>
            <xm:f>Tables!$A$68</xm:f>
          </x14:formula1>
          <xm:sqref>F41:F42</xm:sqref>
        </x14:dataValidation>
        <x14:dataValidation type="list" allowBlank="1" showInputMessage="1" showErrorMessage="1" xr:uid="{00000000-0002-0000-0000-000002000000}">
          <x14:formula1>
            <xm:f>Tables!$A$69</xm:f>
          </x14:formula1>
          <xm:sqref>F43:F44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57DA4-6436-426C-9BF8-E03953A6D2B2}">
  <sheetPr codeName="Sheet8"/>
  <dimension ref="A1:O46"/>
  <sheetViews>
    <sheetView topLeftCell="A10" workbookViewId="0">
      <selection activeCell="C30" sqref="C30"/>
    </sheetView>
  </sheetViews>
  <sheetFormatPr defaultRowHeight="13.2"/>
  <cols>
    <col min="1" max="1" width="26" customWidth="1"/>
    <col min="2" max="15" width="16.6640625" customWidth="1"/>
    <col min="16" max="17" width="17.5546875" customWidth="1"/>
  </cols>
  <sheetData>
    <row r="1" spans="1:15" ht="15" thickBot="1">
      <c r="A1" s="362" t="s">
        <v>248</v>
      </c>
      <c r="B1" s="363" t="s">
        <v>234</v>
      </c>
      <c r="C1" s="363" t="s">
        <v>358</v>
      </c>
      <c r="D1" s="363" t="s">
        <v>359</v>
      </c>
      <c r="E1" s="363" t="s">
        <v>360</v>
      </c>
      <c r="F1" s="363" t="s">
        <v>361</v>
      </c>
      <c r="G1" s="363" t="s">
        <v>362</v>
      </c>
      <c r="H1" s="363" t="s">
        <v>363</v>
      </c>
      <c r="I1" s="364" t="s">
        <v>241</v>
      </c>
      <c r="J1" s="364" t="s">
        <v>364</v>
      </c>
      <c r="K1" s="364" t="s">
        <v>365</v>
      </c>
      <c r="L1" s="364" t="s">
        <v>366</v>
      </c>
      <c r="M1" s="364" t="s">
        <v>367</v>
      </c>
      <c r="N1" s="364" t="s">
        <v>368</v>
      </c>
      <c r="O1" s="365" t="s">
        <v>369</v>
      </c>
    </row>
    <row r="2" spans="1:15" ht="15" thickTop="1">
      <c r="A2" s="357" t="s">
        <v>306</v>
      </c>
      <c r="B2" s="347">
        <v>1107.1089616577799</v>
      </c>
      <c r="C2" s="348">
        <v>1576.2951856585021</v>
      </c>
      <c r="D2" s="348">
        <v>1968.675353284427</v>
      </c>
      <c r="E2" s="348">
        <v>2414.2161177415114</v>
      </c>
      <c r="F2" s="349">
        <v>2826.5614606981726</v>
      </c>
      <c r="G2" s="349">
        <v>3474.8086811202438</v>
      </c>
      <c r="H2" s="349">
        <v>4079.8141064667334</v>
      </c>
      <c r="I2" s="348">
        <v>2157.512933328318</v>
      </c>
      <c r="J2" s="348">
        <v>2518.9404889090761</v>
      </c>
      <c r="K2" s="348">
        <v>2776.3132094271391</v>
      </c>
      <c r="L2" s="348">
        <v>3115.1135874309216</v>
      </c>
      <c r="M2" s="349">
        <v>3598.8070765602215</v>
      </c>
      <c r="N2" s="349">
        <v>3880.9865621034114</v>
      </c>
      <c r="O2" s="350">
        <v>4163.1660476466004</v>
      </c>
    </row>
    <row r="3" spans="1:15" ht="14.4">
      <c r="A3" s="366" t="s">
        <v>308</v>
      </c>
      <c r="B3" s="352">
        <v>1173.1466833663865</v>
      </c>
      <c r="C3" s="352">
        <v>1576.2951856585021</v>
      </c>
      <c r="D3" s="352">
        <v>1968.675353284427</v>
      </c>
      <c r="E3" s="353">
        <v>2414.2161177415114</v>
      </c>
      <c r="F3" s="354">
        <v>2826.5614606981726</v>
      </c>
      <c r="G3" s="354">
        <v>3474.8086811202438</v>
      </c>
      <c r="H3" s="354">
        <v>4079.8141064667334</v>
      </c>
      <c r="I3" s="355">
        <v>2157.512933328318</v>
      </c>
      <c r="J3" s="353">
        <v>2518.9404889090761</v>
      </c>
      <c r="K3" s="353">
        <v>2776.3132094271391</v>
      </c>
      <c r="L3" s="353">
        <v>3115.1135874309216</v>
      </c>
      <c r="M3" s="354">
        <v>3598.8070765602215</v>
      </c>
      <c r="N3" s="354">
        <v>3880.9865621034114</v>
      </c>
      <c r="O3" s="356">
        <v>4163.1660476466004</v>
      </c>
    </row>
    <row r="4" spans="1:15" ht="14.4">
      <c r="A4" s="357" t="s">
        <v>309</v>
      </c>
      <c r="B4" s="347">
        <v>1234.653679621428</v>
      </c>
      <c r="C4" s="347">
        <v>1637.7008581463799</v>
      </c>
      <c r="D4" s="347">
        <v>2030.046035439919</v>
      </c>
      <c r="E4" s="347">
        <v>2414.2161177415114</v>
      </c>
      <c r="F4" s="349">
        <v>2826.5614606981726</v>
      </c>
      <c r="G4" s="349">
        <v>3474.8086811202438</v>
      </c>
      <c r="H4" s="349">
        <v>4079.8141064667334</v>
      </c>
      <c r="I4" s="347">
        <v>2218.7853282473957</v>
      </c>
      <c r="J4" s="358">
        <v>2518.9404889090761</v>
      </c>
      <c r="K4" s="358">
        <v>2776.3132094271391</v>
      </c>
      <c r="L4" s="348">
        <v>3115.1135874309216</v>
      </c>
      <c r="M4" s="349">
        <v>3598.8070765602215</v>
      </c>
      <c r="N4" s="349">
        <v>3880.9865621034114</v>
      </c>
      <c r="O4" s="350">
        <v>4163.1660476466004</v>
      </c>
    </row>
    <row r="5" spans="1:15" ht="14.4">
      <c r="A5" s="351" t="s">
        <v>370</v>
      </c>
      <c r="B5" s="352">
        <v>1324.7020868573284</v>
      </c>
      <c r="C5" s="352">
        <v>1727.6007736693318</v>
      </c>
      <c r="D5" s="352">
        <v>2119.8946214685698</v>
      </c>
      <c r="E5" s="352">
        <v>2503.726897254357</v>
      </c>
      <c r="F5" s="354">
        <v>2916.0397191906177</v>
      </c>
      <c r="G5" s="354">
        <v>3474.8086811202438</v>
      </c>
      <c r="H5" s="354">
        <v>4079.8141064667334</v>
      </c>
      <c r="I5" s="355">
        <v>2308.4900187072458</v>
      </c>
      <c r="J5" s="355">
        <v>2608.3523720191943</v>
      </c>
      <c r="K5" s="355">
        <v>2865.9450422559476</v>
      </c>
      <c r="L5" s="355">
        <v>3115.1135874309216</v>
      </c>
      <c r="M5" s="354">
        <v>3598.8070765602215</v>
      </c>
      <c r="N5" s="354">
        <v>3880.9865621034114</v>
      </c>
      <c r="O5" s="356">
        <v>4163.1660476466004</v>
      </c>
    </row>
    <row r="6" spans="1:15" ht="14.4">
      <c r="A6" s="346" t="s">
        <v>371</v>
      </c>
      <c r="B6" s="347">
        <v>1486.9200850882778</v>
      </c>
      <c r="C6" s="347">
        <v>1889.5511889693298</v>
      </c>
      <c r="D6" s="347">
        <v>2281.7529177846427</v>
      </c>
      <c r="E6" s="347">
        <v>2664.9769972581134</v>
      </c>
      <c r="F6" s="349">
        <v>3077.2309619138505</v>
      </c>
      <c r="G6" s="349">
        <v>3474.8086811202438</v>
      </c>
      <c r="H6" s="349">
        <v>4079.8141064667334</v>
      </c>
      <c r="I6" s="358">
        <v>2470.0891343874628</v>
      </c>
      <c r="J6" s="358">
        <v>2769.4239671359028</v>
      </c>
      <c r="K6" s="358">
        <v>3027.4128671667563</v>
      </c>
      <c r="L6" s="358">
        <v>3275.7144068619095</v>
      </c>
      <c r="M6" s="349">
        <v>3598.8070765602215</v>
      </c>
      <c r="N6" s="349">
        <v>3880.9865621034114</v>
      </c>
      <c r="O6" s="350">
        <v>4163.1660476466004</v>
      </c>
    </row>
    <row r="7" spans="1:15" ht="14.4">
      <c r="A7" s="351" t="s">
        <v>372</v>
      </c>
      <c r="B7" s="352">
        <v>1696.336138119859</v>
      </c>
      <c r="C7" s="352">
        <v>2098.6219105354453</v>
      </c>
      <c r="D7" s="352">
        <v>2490.7045061543695</v>
      </c>
      <c r="E7" s="352">
        <v>2873.1432213416465</v>
      </c>
      <c r="F7" s="354">
        <v>3285.321450351109</v>
      </c>
      <c r="G7" s="354">
        <v>3682.5677784089212</v>
      </c>
      <c r="H7" s="354">
        <v>4079.8141064667334</v>
      </c>
      <c r="I7" s="355">
        <v>2678.7060796760984</v>
      </c>
      <c r="J7" s="355">
        <v>2977.3599605752447</v>
      </c>
      <c r="K7" s="355">
        <v>3235.8603749783665</v>
      </c>
      <c r="L7" s="355">
        <v>3483.042516741179</v>
      </c>
      <c r="M7" s="354">
        <v>3805.8303119942857</v>
      </c>
      <c r="N7" s="354">
        <v>4087.6113700738329</v>
      </c>
      <c r="O7" s="356">
        <v>4369.39242815338</v>
      </c>
    </row>
    <row r="8" spans="1:15" ht="14.4">
      <c r="A8" s="346" t="s">
        <v>373</v>
      </c>
      <c r="B8" s="347">
        <v>2017.785825665781</v>
      </c>
      <c r="C8" s="347">
        <v>2419.5415208018717</v>
      </c>
      <c r="D8" s="347">
        <v>2811.4412082129129</v>
      </c>
      <c r="E8" s="347">
        <v>3192.6743633563697</v>
      </c>
      <c r="F8" s="349">
        <v>3604.7363576300295</v>
      </c>
      <c r="G8" s="349">
        <v>4001.4739906210916</v>
      </c>
      <c r="H8" s="349">
        <v>4398.2116236121528</v>
      </c>
      <c r="I8" s="347">
        <v>2998.9291109890237</v>
      </c>
      <c r="J8" s="347">
        <v>3296.5377845911876</v>
      </c>
      <c r="K8" s="347">
        <v>3555.8233638981492</v>
      </c>
      <c r="L8" s="347">
        <v>3801.2873758622022</v>
      </c>
      <c r="M8" s="349">
        <v>4123.6071843416275</v>
      </c>
      <c r="N8" s="349">
        <v>4404.7767026797783</v>
      </c>
      <c r="O8" s="350">
        <v>4685.9462210179299</v>
      </c>
    </row>
    <row r="9" spans="1:15" ht="14.4">
      <c r="A9" s="351" t="s">
        <v>374</v>
      </c>
      <c r="B9" s="352">
        <v>2235.1726697915142</v>
      </c>
      <c r="C9" s="352">
        <v>2636.570012532638</v>
      </c>
      <c r="D9" s="352">
        <v>3028.3459502295677</v>
      </c>
      <c r="E9" s="352">
        <v>3408.763766714243</v>
      </c>
      <c r="F9" s="354">
        <v>3820.7473568151499</v>
      </c>
      <c r="G9" s="354">
        <v>4217.141028571059</v>
      </c>
      <c r="H9" s="354">
        <v>4613.534700326968</v>
      </c>
      <c r="I9" s="352">
        <v>3215.4864726783112</v>
      </c>
      <c r="J9" s="352">
        <v>3512.388194314251</v>
      </c>
      <c r="K9" s="352">
        <v>3772.2049207537079</v>
      </c>
      <c r="L9" s="352">
        <v>4016.5070934424857</v>
      </c>
      <c r="M9" s="354">
        <v>4338.5102316939065</v>
      </c>
      <c r="N9" s="354">
        <v>4619.2661714478054</v>
      </c>
      <c r="O9" s="356">
        <v>4900.0221112017043</v>
      </c>
    </row>
    <row r="10" spans="1:15" ht="14.4">
      <c r="A10" s="346" t="s">
        <v>375</v>
      </c>
      <c r="B10" s="347">
        <v>2648.9819960747482</v>
      </c>
      <c r="C10" s="347">
        <v>3049.6968354819278</v>
      </c>
      <c r="D10" s="347">
        <v>3441.2374462307939</v>
      </c>
      <c r="E10" s="347">
        <v>3820.1034527118386</v>
      </c>
      <c r="F10" s="349">
        <v>4231.9371738937252</v>
      </c>
      <c r="G10" s="349">
        <v>4627.6759683484688</v>
      </c>
      <c r="H10" s="349">
        <v>5023.4147628032133</v>
      </c>
      <c r="I10" s="347">
        <v>3627.7167088946444</v>
      </c>
      <c r="J10" s="347">
        <v>3923.2729409896497</v>
      </c>
      <c r="K10" s="347">
        <v>4184.1001005443495</v>
      </c>
      <c r="L10" s="347">
        <v>4426.1904067346686</v>
      </c>
      <c r="M10" s="349">
        <v>4747.5911451611319</v>
      </c>
      <c r="N10" s="349">
        <v>5027.5597542277537</v>
      </c>
      <c r="O10" s="350">
        <v>5307.5283632943756</v>
      </c>
    </row>
    <row r="11" spans="1:15" ht="14.4">
      <c r="A11" s="351" t="s">
        <v>376</v>
      </c>
      <c r="B11" s="352">
        <v>2818.2689837174053</v>
      </c>
      <c r="C11" s="352">
        <v>3218.7048294262872</v>
      </c>
      <c r="D11" s="352">
        <v>3610.1490536200267</v>
      </c>
      <c r="E11" s="352">
        <v>3988.3801081730767</v>
      </c>
      <c r="F11" s="354">
        <v>4400.1528799112939</v>
      </c>
      <c r="G11" s="354">
        <v>4795.6238539597662</v>
      </c>
      <c r="H11" s="354">
        <v>5191.0948280082384</v>
      </c>
      <c r="I11" s="352">
        <v>3796.3577167251206</v>
      </c>
      <c r="J11" s="352">
        <v>4091.3634834397121</v>
      </c>
      <c r="K11" s="352">
        <v>4352.6044663375033</v>
      </c>
      <c r="L11" s="352">
        <v>4593.7900230769774</v>
      </c>
      <c r="M11" s="354">
        <v>4914.944263798101</v>
      </c>
      <c r="N11" s="354">
        <v>5194.5909005663461</v>
      </c>
      <c r="O11" s="356">
        <v>5474.2375373345913</v>
      </c>
    </row>
    <row r="12" spans="1:15" ht="14.4">
      <c r="A12" s="346" t="s">
        <v>377</v>
      </c>
      <c r="B12" s="347">
        <v>2985.0884881090151</v>
      </c>
      <c r="C12" s="347">
        <v>3385.2489988103935</v>
      </c>
      <c r="D12" s="347">
        <v>3776.598486395877</v>
      </c>
      <c r="E12" s="347">
        <v>4154.2040884164662</v>
      </c>
      <c r="F12" s="349">
        <v>4565.9161013720723</v>
      </c>
      <c r="G12" s="349">
        <v>4961.1230046878372</v>
      </c>
      <c r="H12" s="349">
        <v>5356.3299080036013</v>
      </c>
      <c r="I12" s="347">
        <v>3962.5406569388474</v>
      </c>
      <c r="J12" s="347">
        <v>4257.003981713724</v>
      </c>
      <c r="K12" s="347">
        <v>4518.6521065134448</v>
      </c>
      <c r="L12" s="347">
        <v>4758.9459431413588</v>
      </c>
      <c r="M12" s="349">
        <v>5079.8572946673085</v>
      </c>
      <c r="N12" s="349">
        <v>5359.1864540994229</v>
      </c>
      <c r="O12" s="350">
        <v>5638.5156135315392</v>
      </c>
    </row>
    <row r="13" spans="1:15" ht="14.4">
      <c r="A13" s="351" t="s">
        <v>378</v>
      </c>
      <c r="B13" s="352">
        <v>3466.9600081453718</v>
      </c>
      <c r="C13" s="352">
        <v>3866.3259846476408</v>
      </c>
      <c r="D13" s="352">
        <v>4257.4011797506882</v>
      </c>
      <c r="E13" s="352">
        <v>4633.1994760366588</v>
      </c>
      <c r="F13" s="354">
        <v>5044.7374102814019</v>
      </c>
      <c r="G13" s="354">
        <v>5439.1817608154097</v>
      </c>
      <c r="H13" s="354">
        <v>5833.6261113494174</v>
      </c>
      <c r="I13" s="352">
        <v>4442.5732465445444</v>
      </c>
      <c r="J13" s="352">
        <v>4735.469766401332</v>
      </c>
      <c r="K13" s="352">
        <v>4998.2949800319484</v>
      </c>
      <c r="L13" s="352">
        <v>5236.0133229036546</v>
      </c>
      <c r="M13" s="354">
        <v>5556.2231292825791</v>
      </c>
      <c r="N13" s="354">
        <v>5834.6355999670877</v>
      </c>
      <c r="O13" s="356">
        <v>6113.0480706515973</v>
      </c>
    </row>
    <row r="14" spans="1:15" ht="14.4">
      <c r="A14" s="359" t="s">
        <v>379</v>
      </c>
      <c r="B14" s="347">
        <v>3935.5616557259123</v>
      </c>
      <c r="C14" s="347">
        <v>4334.1548162308391</v>
      </c>
      <c r="D14" s="347">
        <v>4724.9637599560347</v>
      </c>
      <c r="E14" s="347">
        <v>5099.0050048828125</v>
      </c>
      <c r="F14" s="349">
        <v>5510.373205511185</v>
      </c>
      <c r="G14" s="349">
        <v>5904.0760929575035</v>
      </c>
      <c r="H14" s="349">
        <v>6297.7789804038221</v>
      </c>
      <c r="I14" s="347">
        <v>4909.3871731029267</v>
      </c>
      <c r="J14" s="347">
        <v>5200.7596273998388</v>
      </c>
      <c r="K14" s="347">
        <v>5464.7297630176627</v>
      </c>
      <c r="L14" s="347">
        <v>5699.9429670794789</v>
      </c>
      <c r="M14" s="349">
        <v>6019.4703027648793</v>
      </c>
      <c r="N14" s="349">
        <v>6296.991085180367</v>
      </c>
      <c r="O14" s="350">
        <v>6574.5118675958547</v>
      </c>
    </row>
    <row r="15" spans="1:15" ht="14.4">
      <c r="A15" s="360" t="s">
        <v>380</v>
      </c>
      <c r="B15" s="352">
        <v>4177.3760005327695</v>
      </c>
      <c r="C15" s="361">
        <v>4575.5705682056478</v>
      </c>
      <c r="D15" s="361">
        <v>4966.2416198034407</v>
      </c>
      <c r="E15" s="361">
        <v>5339.3756723257202</v>
      </c>
      <c r="F15" s="354">
        <v>5750.6568021850326</v>
      </c>
      <c r="G15" s="354">
        <v>6143.9770025980988</v>
      </c>
      <c r="H15" s="354">
        <v>6537.297203011165</v>
      </c>
      <c r="I15" s="361">
        <v>5150.2786182451455</v>
      </c>
      <c r="J15" s="361">
        <v>5440.8647726812187</v>
      </c>
      <c r="K15" s="361">
        <v>5705.4255575206398</v>
      </c>
      <c r="L15" s="361">
        <v>5939.346604373678</v>
      </c>
      <c r="M15" s="354">
        <v>6258.5216664006985</v>
      </c>
      <c r="N15" s="354">
        <v>6535.5824284395867</v>
      </c>
      <c r="O15" s="356">
        <v>6812.6431904784749</v>
      </c>
    </row>
    <row r="17" spans="1:12" ht="15" customHeight="1"/>
    <row r="18" spans="1:12" ht="15" customHeight="1" thickBot="1"/>
    <row r="19" spans="1:12" ht="15" customHeight="1">
      <c r="A19" s="368" t="s">
        <v>381</v>
      </c>
      <c r="B19" s="372" t="s">
        <v>382</v>
      </c>
      <c r="D19" s="405" t="s">
        <v>385</v>
      </c>
      <c r="E19" s="406"/>
      <c r="F19" s="371">
        <v>1</v>
      </c>
      <c r="G19" s="371">
        <v>2</v>
      </c>
      <c r="H19" s="371">
        <v>3</v>
      </c>
      <c r="I19" s="371">
        <v>4</v>
      </c>
      <c r="J19" s="371">
        <v>5</v>
      </c>
      <c r="K19" s="371">
        <v>6</v>
      </c>
      <c r="L19" s="378">
        <v>7</v>
      </c>
    </row>
    <row r="20" spans="1:12" ht="15" customHeight="1">
      <c r="A20" s="369">
        <v>21001</v>
      </c>
      <c r="B20" s="373">
        <v>1</v>
      </c>
      <c r="D20" s="379">
        <v>0</v>
      </c>
      <c r="E20" s="376"/>
      <c r="F20" s="367">
        <v>0</v>
      </c>
      <c r="G20" s="367">
        <v>7</v>
      </c>
      <c r="H20" s="377">
        <v>13</v>
      </c>
      <c r="I20" s="377">
        <v>13</v>
      </c>
      <c r="J20" s="377">
        <v>13</v>
      </c>
      <c r="K20" s="377">
        <v>13</v>
      </c>
      <c r="L20" s="380">
        <v>13</v>
      </c>
    </row>
    <row r="21" spans="1:12" ht="15" customHeight="1">
      <c r="A21" s="369">
        <v>32001</v>
      </c>
      <c r="B21" s="373">
        <v>2</v>
      </c>
      <c r="D21" s="379">
        <v>1</v>
      </c>
      <c r="E21" s="376"/>
      <c r="F21" s="367">
        <v>1</v>
      </c>
      <c r="G21" s="367">
        <v>8</v>
      </c>
      <c r="H21" s="377">
        <v>13</v>
      </c>
      <c r="I21" s="377">
        <v>13</v>
      </c>
      <c r="J21" s="377">
        <v>13</v>
      </c>
      <c r="K21" s="377">
        <v>13</v>
      </c>
      <c r="L21" s="380">
        <v>13</v>
      </c>
    </row>
    <row r="22" spans="1:12" ht="15" customHeight="1">
      <c r="A22" s="369">
        <v>43001</v>
      </c>
      <c r="B22" s="373">
        <v>3</v>
      </c>
      <c r="D22" s="379">
        <v>2</v>
      </c>
      <c r="E22" s="376"/>
      <c r="F22" s="367">
        <v>2</v>
      </c>
      <c r="G22" s="367">
        <v>9</v>
      </c>
      <c r="H22" s="377">
        <v>13</v>
      </c>
      <c r="I22" s="377">
        <v>13</v>
      </c>
      <c r="J22" s="377">
        <v>13</v>
      </c>
      <c r="K22" s="377">
        <v>13</v>
      </c>
      <c r="L22" s="380">
        <v>13</v>
      </c>
    </row>
    <row r="23" spans="1:12" ht="15" customHeight="1">
      <c r="A23" s="369">
        <v>54001</v>
      </c>
      <c r="B23" s="373">
        <v>4</v>
      </c>
      <c r="D23" s="379">
        <v>3</v>
      </c>
      <c r="E23" s="376"/>
      <c r="F23" s="367">
        <v>3</v>
      </c>
      <c r="G23" s="367">
        <v>10</v>
      </c>
      <c r="H23" s="377">
        <v>13</v>
      </c>
      <c r="I23" s="377">
        <v>13</v>
      </c>
      <c r="J23" s="377">
        <v>13</v>
      </c>
      <c r="K23" s="377">
        <v>13</v>
      </c>
      <c r="L23" s="380">
        <v>13</v>
      </c>
    </row>
    <row r="24" spans="1:12" ht="15" customHeight="1">
      <c r="A24" s="369">
        <v>65001</v>
      </c>
      <c r="B24" s="373">
        <v>5</v>
      </c>
      <c r="C24" s="31"/>
      <c r="D24" s="379">
        <v>4</v>
      </c>
      <c r="E24" s="376"/>
      <c r="F24" s="367">
        <v>4</v>
      </c>
      <c r="G24" s="367">
        <v>11</v>
      </c>
      <c r="H24" s="377">
        <v>13</v>
      </c>
      <c r="I24" s="377">
        <v>13</v>
      </c>
      <c r="J24" s="377">
        <v>13</v>
      </c>
      <c r="K24" s="377">
        <v>13</v>
      </c>
      <c r="L24" s="380">
        <v>13</v>
      </c>
    </row>
    <row r="25" spans="1:12" ht="15" customHeight="1">
      <c r="A25" s="369">
        <v>86001</v>
      </c>
      <c r="B25" s="373">
        <v>6</v>
      </c>
      <c r="D25" s="379">
        <v>5</v>
      </c>
      <c r="E25" s="376"/>
      <c r="F25" s="367">
        <v>5</v>
      </c>
      <c r="G25" s="367">
        <v>12</v>
      </c>
      <c r="H25" s="377">
        <v>13</v>
      </c>
      <c r="I25" s="377">
        <v>13</v>
      </c>
      <c r="J25" s="377">
        <v>13</v>
      </c>
      <c r="K25" s="377">
        <v>13</v>
      </c>
      <c r="L25" s="380">
        <v>13</v>
      </c>
    </row>
    <row r="26" spans="1:12" ht="15" customHeight="1">
      <c r="A26" s="369">
        <v>108001</v>
      </c>
      <c r="B26" s="373">
        <v>7</v>
      </c>
      <c r="D26" s="379">
        <v>6</v>
      </c>
      <c r="E26" s="376"/>
      <c r="F26" s="367">
        <v>6</v>
      </c>
      <c r="G26" s="367">
        <v>13</v>
      </c>
      <c r="H26" s="377">
        <v>13</v>
      </c>
      <c r="I26" s="377">
        <v>13</v>
      </c>
      <c r="J26" s="377">
        <v>13</v>
      </c>
      <c r="K26" s="377">
        <v>13</v>
      </c>
      <c r="L26" s="380">
        <v>13</v>
      </c>
    </row>
    <row r="27" spans="1:12" ht="15" customHeight="1">
      <c r="A27" s="369">
        <v>129001</v>
      </c>
      <c r="B27" s="373">
        <v>8</v>
      </c>
      <c r="D27" s="379">
        <v>7</v>
      </c>
      <c r="E27" s="376"/>
      <c r="F27" s="377">
        <v>13</v>
      </c>
      <c r="G27" s="377">
        <v>13</v>
      </c>
      <c r="H27" s="377">
        <v>13</v>
      </c>
      <c r="I27" s="377">
        <v>13</v>
      </c>
      <c r="J27" s="377">
        <v>13</v>
      </c>
      <c r="K27" s="377">
        <v>13</v>
      </c>
      <c r="L27" s="380">
        <v>13</v>
      </c>
    </row>
    <row r="28" spans="1:12" ht="15" customHeight="1">
      <c r="A28" s="369">
        <v>151001</v>
      </c>
      <c r="B28" s="373">
        <v>9</v>
      </c>
      <c r="D28" s="379">
        <v>8</v>
      </c>
      <c r="E28" s="376"/>
      <c r="F28" s="377">
        <v>13</v>
      </c>
      <c r="G28" s="377">
        <v>13</v>
      </c>
      <c r="H28" s="377">
        <v>13</v>
      </c>
      <c r="I28" s="377">
        <v>13</v>
      </c>
      <c r="J28" s="377">
        <v>13</v>
      </c>
      <c r="K28" s="377">
        <v>13</v>
      </c>
      <c r="L28" s="380">
        <v>13</v>
      </c>
    </row>
    <row r="29" spans="1:12" ht="15" customHeight="1">
      <c r="A29" s="369">
        <v>172001</v>
      </c>
      <c r="B29" s="373">
        <v>10</v>
      </c>
      <c r="D29" s="379">
        <v>9</v>
      </c>
      <c r="E29" s="376"/>
      <c r="F29" s="377">
        <v>13</v>
      </c>
      <c r="G29" s="377">
        <v>13</v>
      </c>
      <c r="H29" s="377">
        <v>13</v>
      </c>
      <c r="I29" s="377">
        <v>13</v>
      </c>
      <c r="J29" s="377">
        <v>13</v>
      </c>
      <c r="K29" s="377">
        <v>13</v>
      </c>
      <c r="L29" s="380">
        <v>13</v>
      </c>
    </row>
    <row r="30" spans="1:12" ht="15" customHeight="1">
      <c r="A30" s="369">
        <v>215001</v>
      </c>
      <c r="B30" s="373">
        <v>11</v>
      </c>
      <c r="D30" s="379">
        <v>10</v>
      </c>
      <c r="E30" s="376"/>
      <c r="F30" s="377">
        <v>13</v>
      </c>
      <c r="G30" s="377">
        <v>13</v>
      </c>
      <c r="H30" s="377">
        <v>13</v>
      </c>
      <c r="I30" s="377">
        <v>13</v>
      </c>
      <c r="J30" s="377">
        <v>13</v>
      </c>
      <c r="K30" s="377">
        <v>13</v>
      </c>
      <c r="L30" s="380">
        <v>13</v>
      </c>
    </row>
    <row r="31" spans="1:12" ht="15" customHeight="1">
      <c r="A31" s="369">
        <v>269000</v>
      </c>
      <c r="B31" s="373">
        <v>12</v>
      </c>
      <c r="D31" s="379">
        <v>11</v>
      </c>
      <c r="E31" s="376"/>
      <c r="F31" s="377">
        <v>13</v>
      </c>
      <c r="G31" s="377">
        <v>13</v>
      </c>
      <c r="H31" s="377">
        <v>13</v>
      </c>
      <c r="I31" s="377">
        <v>13</v>
      </c>
      <c r="J31" s="377">
        <v>13</v>
      </c>
      <c r="K31" s="377">
        <v>13</v>
      </c>
      <c r="L31" s="380">
        <v>13</v>
      </c>
    </row>
    <row r="32" spans="1:12" ht="15" customHeight="1" thickBot="1">
      <c r="A32" s="370">
        <v>323001</v>
      </c>
      <c r="B32" s="374">
        <v>13</v>
      </c>
      <c r="D32" s="381">
        <v>12</v>
      </c>
      <c r="E32" s="382"/>
      <c r="F32" s="383">
        <v>13</v>
      </c>
      <c r="G32" s="383">
        <v>13</v>
      </c>
      <c r="H32" s="383">
        <v>13</v>
      </c>
      <c r="I32" s="383">
        <v>13</v>
      </c>
      <c r="J32" s="383">
        <v>13</v>
      </c>
      <c r="K32" s="383">
        <v>13</v>
      </c>
      <c r="L32" s="384">
        <v>13</v>
      </c>
    </row>
    <row r="33" spans="4:11" ht="15" customHeight="1"/>
    <row r="34" spans="4:11" ht="15" customHeight="1"/>
    <row r="35" spans="4:11" ht="15" customHeight="1">
      <c r="K35" s="11"/>
    </row>
    <row r="36" spans="4:11" ht="15" customHeight="1"/>
    <row r="37" spans="4:11" ht="15" customHeight="1"/>
    <row r="38" spans="4:11" ht="15" customHeight="1" thickBot="1"/>
    <row r="39" spans="4:11">
      <c r="D39" s="385" t="s">
        <v>250</v>
      </c>
      <c r="E39" s="334"/>
      <c r="F39" s="335"/>
      <c r="H39" s="385" t="s">
        <v>251</v>
      </c>
      <c r="I39" s="334"/>
      <c r="J39" s="335"/>
    </row>
    <row r="40" spans="4:11">
      <c r="D40" s="26" t="s">
        <v>387</v>
      </c>
      <c r="E40" s="2"/>
      <c r="F40" s="386">
        <f>IF(EXACT(Serviceability!F13,D39),Serviceability!G13,0)+IF(EXACT(Serviceability!F14, D39),Serviceability!G14,0)+IF(EXACT(Serviceability!F15, D39),Serviceability!G15,0)+IF(EXACT(Serviceability!F16, D39),Serviceability!G16,0)</f>
        <v>100000</v>
      </c>
      <c r="H40" s="26" t="s">
        <v>387</v>
      </c>
      <c r="I40" s="2"/>
      <c r="J40" s="386">
        <f>IF(EXACT(Serviceability!F13, H39),Serviceability!G13,0)+IF(EXACT(Serviceability!F14,H39),Serviceability!G14,0)+IF(EXACT(Serviceability!F15,H39),Serviceability!G15,0)+IF(EXACT(Serviceability!F16,H39),Serviceability!G16,0)</f>
        <v>150000</v>
      </c>
    </row>
    <row r="41" spans="4:11">
      <c r="D41" s="26" t="s">
        <v>383</v>
      </c>
      <c r="E41" s="2"/>
      <c r="F41" s="386">
        <f>+Serviceability!$G$41</f>
        <v>1</v>
      </c>
      <c r="H41" s="26" t="s">
        <v>383</v>
      </c>
      <c r="I41" s="2"/>
      <c r="J41" s="386">
        <f>Serviceability!G43</f>
        <v>2</v>
      </c>
    </row>
    <row r="42" spans="4:11">
      <c r="D42" s="26" t="s">
        <v>384</v>
      </c>
      <c r="E42" s="2"/>
      <c r="F42" s="386">
        <f>+Serviceability!$G$42</f>
        <v>2</v>
      </c>
      <c r="H42" s="26" t="s">
        <v>384</v>
      </c>
      <c r="I42" s="2"/>
      <c r="J42" s="386">
        <f>Serviceability!G44</f>
        <v>3</v>
      </c>
    </row>
    <row r="43" spans="4:11">
      <c r="D43" s="26" t="s">
        <v>389</v>
      </c>
      <c r="E43" s="2"/>
      <c r="F43" s="386">
        <f>IFERROR(VLOOKUP(F40,HEM!$A$20:$B$32,2,TRUE),0)</f>
        <v>6</v>
      </c>
      <c r="H43" s="26" t="s">
        <v>389</v>
      </c>
      <c r="I43" s="2"/>
      <c r="J43" s="386">
        <f>IFERROR(VLOOKUP(J40,HEM!$A$20:$B$32,2,TRUE),0)</f>
        <v>8</v>
      </c>
    </row>
    <row r="44" spans="4:11">
      <c r="D44" s="26" t="s">
        <v>390</v>
      </c>
      <c r="E44" s="2"/>
      <c r="F44" s="386">
        <f ca="1">OFFSET($E$20,F42,F41)</f>
        <v>2</v>
      </c>
      <c r="H44" s="26" t="s">
        <v>390</v>
      </c>
      <c r="I44" s="2"/>
      <c r="J44" s="386">
        <f ca="1">OFFSET($E$20,J42,J41)</f>
        <v>10</v>
      </c>
    </row>
    <row r="45" spans="4:11">
      <c r="D45" s="26" t="s">
        <v>388</v>
      </c>
      <c r="E45" s="2"/>
      <c r="F45" s="386">
        <f ca="1">OFFSET(B2,0,0)</f>
        <v>1107.1089616577799</v>
      </c>
      <c r="H45" s="26" t="s">
        <v>388</v>
      </c>
      <c r="I45" s="2"/>
      <c r="J45" s="386">
        <f ca="1">OFFSET(F2,0,0)</f>
        <v>2826.5614606981726</v>
      </c>
    </row>
    <row r="46" spans="4:11" ht="13.8" thickBot="1">
      <c r="D46" s="28" t="s">
        <v>386</v>
      </c>
      <c r="E46" s="4"/>
      <c r="F46" s="387">
        <f ca="1">IF(F40=0, 0, OFFSET($B$2,F43,F44))</f>
        <v>2811.4412082129129</v>
      </c>
      <c r="H46" s="28" t="s">
        <v>386</v>
      </c>
      <c r="I46" s="4"/>
      <c r="J46" s="387">
        <f ca="1">IF(J40=0,0,OFFSET($B$2,J43,J44))</f>
        <v>4426.1904067346686</v>
      </c>
    </row>
  </sheetData>
  <mergeCells count="1">
    <mergeCell ref="D19:E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318"/>
  <sheetViews>
    <sheetView topLeftCell="A34" workbookViewId="0">
      <selection activeCell="B321" sqref="B321"/>
    </sheetView>
  </sheetViews>
  <sheetFormatPr defaultColWidth="8.88671875" defaultRowHeight="13.2"/>
  <cols>
    <col min="1" max="1" width="55" customWidth="1"/>
    <col min="2" max="2" width="26.44140625" bestFit="1" customWidth="1"/>
    <col min="3" max="3" width="29.6640625" bestFit="1" customWidth="1"/>
    <col min="4" max="4" width="32.109375" bestFit="1" customWidth="1"/>
    <col min="5" max="8" width="31.44140625" bestFit="1" customWidth="1"/>
    <col min="9" max="15" width="26.44140625" bestFit="1" customWidth="1"/>
  </cols>
  <sheetData>
    <row r="1" spans="1:14" ht="13.8" thickBot="1">
      <c r="C1" s="14"/>
    </row>
    <row r="2" spans="1:14" ht="13.8" thickBot="1">
      <c r="A2" s="6" t="s">
        <v>4</v>
      </c>
      <c r="B2" s="7"/>
      <c r="C2" s="7"/>
      <c r="D2" s="9"/>
      <c r="E2" s="29"/>
    </row>
    <row r="3" spans="1:14">
      <c r="A3" s="1"/>
      <c r="B3" s="2"/>
      <c r="C3" s="2"/>
      <c r="D3" s="3"/>
      <c r="E3" s="2"/>
      <c r="G3" s="6" t="s">
        <v>44</v>
      </c>
      <c r="H3" s="6"/>
    </row>
    <row r="4" spans="1:14">
      <c r="A4" s="26" t="s">
        <v>15</v>
      </c>
      <c r="B4" s="10" t="s">
        <v>16</v>
      </c>
      <c r="C4" s="10" t="s">
        <v>17</v>
      </c>
      <c r="D4" s="27"/>
      <c r="E4" s="10"/>
      <c r="G4" s="63" t="s">
        <v>36</v>
      </c>
      <c r="H4" s="63" t="s">
        <v>37</v>
      </c>
      <c r="I4" s="26"/>
      <c r="J4" s="10"/>
      <c r="K4" s="10"/>
    </row>
    <row r="5" spans="1:14">
      <c r="A5" s="95">
        <v>0</v>
      </c>
      <c r="B5" s="96">
        <v>18200</v>
      </c>
      <c r="C5" s="97">
        <v>0</v>
      </c>
      <c r="D5" s="98"/>
      <c r="E5" s="20"/>
      <c r="G5" s="64" t="s">
        <v>38</v>
      </c>
      <c r="H5" s="64" t="s">
        <v>39</v>
      </c>
      <c r="I5" s="13">
        <v>0</v>
      </c>
      <c r="J5">
        <v>50000</v>
      </c>
      <c r="K5" s="65">
        <v>0</v>
      </c>
      <c r="M5" s="13"/>
    </row>
    <row r="6" spans="1:14">
      <c r="A6" s="99">
        <f>B5+1</f>
        <v>18201</v>
      </c>
      <c r="B6" s="100">
        <v>45000</v>
      </c>
      <c r="C6" s="101">
        <v>0.19</v>
      </c>
      <c r="D6" s="102">
        <f>D5+C5*(B5-A5)</f>
        <v>0</v>
      </c>
      <c r="E6" s="20"/>
      <c r="F6" s="14"/>
      <c r="G6" s="64" t="s">
        <v>40</v>
      </c>
      <c r="H6" s="64" t="s">
        <v>41</v>
      </c>
      <c r="I6" s="13">
        <v>50001</v>
      </c>
      <c r="J6" s="14">
        <v>100000</v>
      </c>
      <c r="K6" s="15">
        <v>0</v>
      </c>
      <c r="L6" s="14">
        <f>(J6-J5)*K6</f>
        <v>0</v>
      </c>
      <c r="M6" s="13"/>
    </row>
    <row r="7" spans="1:14" ht="26.4">
      <c r="A7" s="99">
        <f>B6+1</f>
        <v>45001</v>
      </c>
      <c r="B7" s="100">
        <v>120000</v>
      </c>
      <c r="C7" s="101">
        <v>0.32500000000000001</v>
      </c>
      <c r="D7" s="102">
        <f>ROUNDUP(D6+C6*(B6-A6),0)</f>
        <v>5092</v>
      </c>
      <c r="E7" s="20"/>
      <c r="G7" s="64" t="s">
        <v>42</v>
      </c>
      <c r="H7" s="64" t="s">
        <v>43</v>
      </c>
      <c r="I7" s="13">
        <f>J6+1</f>
        <v>100001</v>
      </c>
      <c r="J7" s="14"/>
      <c r="K7" s="15">
        <v>0</v>
      </c>
      <c r="L7" s="14"/>
      <c r="M7" s="13"/>
    </row>
    <row r="8" spans="1:14">
      <c r="A8" s="99">
        <f>B7+1</f>
        <v>120001</v>
      </c>
      <c r="B8" s="100">
        <v>180000</v>
      </c>
      <c r="C8" s="101">
        <v>0.37</v>
      </c>
      <c r="D8" s="102">
        <f>ROUNDUP(D7+C7*(B7-A7),0)</f>
        <v>29467</v>
      </c>
      <c r="E8" s="66"/>
      <c r="F8" s="14"/>
      <c r="G8" s="17"/>
      <c r="H8" s="16"/>
      <c r="I8" s="13"/>
      <c r="J8" s="14"/>
      <c r="K8" s="15"/>
      <c r="L8" s="14"/>
      <c r="M8" s="13"/>
    </row>
    <row r="9" spans="1:14">
      <c r="A9" s="99">
        <f>B8+1</f>
        <v>180001</v>
      </c>
      <c r="B9" s="100"/>
      <c r="C9" s="101">
        <v>0.45</v>
      </c>
      <c r="D9" s="102">
        <f>ROUNDUP(D8+C8*(B8-A8),0)</f>
        <v>51667</v>
      </c>
      <c r="E9" s="66"/>
      <c r="F9" s="14"/>
      <c r="G9" s="17"/>
      <c r="H9" s="16"/>
      <c r="I9" s="13"/>
      <c r="J9" s="14"/>
      <c r="K9" s="15"/>
      <c r="L9" s="14"/>
      <c r="M9" s="13"/>
      <c r="N9" s="31"/>
    </row>
    <row r="10" spans="1:14" ht="13.8" thickBot="1">
      <c r="A10" s="21"/>
      <c r="B10" s="22"/>
      <c r="C10" s="54"/>
      <c r="D10" s="23"/>
      <c r="E10" s="66"/>
      <c r="F10" s="14"/>
      <c r="G10" t="s">
        <v>45</v>
      </c>
      <c r="I10" s="13"/>
      <c r="J10" s="14"/>
      <c r="K10" s="15"/>
      <c r="L10" s="14"/>
      <c r="M10" s="13"/>
    </row>
    <row r="11" spans="1:14" ht="13.8" thickBot="1">
      <c r="C11" s="18"/>
      <c r="E11" s="12"/>
      <c r="G11" t="s">
        <v>46</v>
      </c>
      <c r="I11" s="13"/>
      <c r="K11" s="15"/>
      <c r="L11" s="14"/>
      <c r="M11" s="14"/>
    </row>
    <row r="12" spans="1:14">
      <c r="A12" s="6" t="s">
        <v>18</v>
      </c>
      <c r="B12" s="8"/>
      <c r="C12" s="55"/>
      <c r="D12" s="56"/>
      <c r="E12" s="12"/>
      <c r="I12" s="13"/>
      <c r="K12" s="15"/>
      <c r="L12" s="14"/>
    </row>
    <row r="13" spans="1:14" ht="12.75" customHeight="1">
      <c r="A13" s="1"/>
      <c r="B13" s="2"/>
      <c r="C13" s="20"/>
      <c r="D13" s="3"/>
      <c r="E13" s="12"/>
      <c r="G13" s="69" t="s">
        <v>36</v>
      </c>
      <c r="H13" s="69" t="s">
        <v>48</v>
      </c>
      <c r="I13" s="13"/>
      <c r="K13" s="15"/>
      <c r="L13" s="67"/>
    </row>
    <row r="14" spans="1:14">
      <c r="A14" s="59">
        <v>0</v>
      </c>
      <c r="B14" s="60">
        <v>16284</v>
      </c>
      <c r="C14" s="61">
        <v>0</v>
      </c>
      <c r="D14" s="3"/>
      <c r="E14" s="12" t="s">
        <v>35</v>
      </c>
      <c r="G14" s="70" t="s">
        <v>49</v>
      </c>
      <c r="H14" s="70" t="s">
        <v>39</v>
      </c>
      <c r="I14" s="13"/>
      <c r="K14" s="15"/>
    </row>
    <row r="15" spans="1:14">
      <c r="A15" s="59">
        <v>16284</v>
      </c>
      <c r="B15" s="60">
        <v>17604</v>
      </c>
      <c r="C15" s="61">
        <v>0.2</v>
      </c>
      <c r="D15" s="3"/>
      <c r="E15" s="12"/>
      <c r="G15" s="70" t="s">
        <v>50</v>
      </c>
      <c r="H15" s="70" t="s">
        <v>51</v>
      </c>
      <c r="I15" s="13"/>
      <c r="K15" s="15"/>
    </row>
    <row r="16" spans="1:14" ht="27" thickBot="1">
      <c r="A16" s="30" t="s">
        <v>23</v>
      </c>
      <c r="B16" s="4"/>
      <c r="C16" s="54">
        <v>0.02</v>
      </c>
      <c r="D16" s="5"/>
      <c r="E16" s="12"/>
      <c r="G16" s="70" t="s">
        <v>292</v>
      </c>
      <c r="H16" s="70" t="s">
        <v>52</v>
      </c>
      <c r="I16" s="13"/>
      <c r="K16" s="15"/>
    </row>
    <row r="17" spans="1:11" ht="26.4">
      <c r="C17" s="18"/>
      <c r="E17" s="12"/>
      <c r="G17" s="70" t="s">
        <v>293</v>
      </c>
      <c r="H17" s="70" t="s">
        <v>97</v>
      </c>
      <c r="I17" s="13"/>
      <c r="K17" s="15"/>
    </row>
    <row r="18" spans="1:11" ht="26.4">
      <c r="B18" s="11"/>
      <c r="C18" s="12"/>
      <c r="E18" s="12"/>
      <c r="G18" s="70" t="s">
        <v>53</v>
      </c>
      <c r="H18" s="70" t="s">
        <v>54</v>
      </c>
      <c r="I18" s="13"/>
      <c r="K18" s="13"/>
    </row>
    <row r="19" spans="1:11" ht="13.8" thickBot="1">
      <c r="B19" s="11"/>
      <c r="C19" s="12"/>
      <c r="E19" s="12"/>
      <c r="G19" s="94"/>
      <c r="H19" s="94"/>
      <c r="I19" s="13"/>
      <c r="K19" s="13"/>
    </row>
    <row r="20" spans="1:11">
      <c r="A20" s="6" t="s">
        <v>99</v>
      </c>
      <c r="B20" s="7"/>
      <c r="C20" s="57"/>
      <c r="D20" s="56"/>
      <c r="E20" s="12"/>
      <c r="G20" s="94"/>
      <c r="H20" s="94"/>
      <c r="I20" s="13"/>
      <c r="K20" s="13"/>
    </row>
    <row r="21" spans="1:11" ht="13.8" thickBot="1">
      <c r="A21" s="1"/>
      <c r="B21" s="2"/>
      <c r="C21" s="2"/>
      <c r="D21" s="3"/>
      <c r="E21" s="12"/>
      <c r="G21" s="94"/>
      <c r="H21" s="94"/>
      <c r="I21" s="13"/>
      <c r="K21" s="13"/>
    </row>
    <row r="22" spans="1:11" ht="13.8" thickBot="1">
      <c r="A22" s="26" t="s">
        <v>98</v>
      </c>
      <c r="B22" s="103">
        <v>0.27500000000000002</v>
      </c>
      <c r="C22" s="2"/>
      <c r="D22" s="3"/>
      <c r="E22" s="12"/>
      <c r="G22" s="94"/>
      <c r="H22" s="94"/>
      <c r="I22" s="13"/>
      <c r="K22" s="13"/>
    </row>
    <row r="23" spans="1:11">
      <c r="A23" s="26"/>
      <c r="B23" s="24"/>
      <c r="C23" s="2"/>
      <c r="D23" s="3"/>
      <c r="E23" s="12"/>
      <c r="G23" s="94"/>
      <c r="H23" s="94"/>
      <c r="I23" s="13"/>
      <c r="K23" s="13"/>
    </row>
    <row r="24" spans="1:11" ht="13.8" thickBot="1">
      <c r="A24" s="28"/>
      <c r="B24" s="25"/>
      <c r="C24" s="4"/>
      <c r="D24" s="5"/>
      <c r="E24" s="12"/>
      <c r="G24" s="94"/>
      <c r="H24" s="94"/>
      <c r="I24" s="13"/>
      <c r="K24" s="13"/>
    </row>
    <row r="25" spans="1:11">
      <c r="B25" s="11"/>
      <c r="C25" s="12"/>
      <c r="E25" s="12"/>
      <c r="G25" s="94"/>
      <c r="H25" s="94"/>
      <c r="I25" s="13"/>
      <c r="K25" s="13"/>
    </row>
    <row r="27" spans="1:11" ht="13.8" thickBot="1"/>
    <row r="28" spans="1:11" ht="13.8" thickBot="1">
      <c r="A28" s="45" t="s">
        <v>26</v>
      </c>
      <c r="B28" s="117">
        <v>0.02</v>
      </c>
    </row>
    <row r="29" spans="1:11" ht="13.8" thickBot="1">
      <c r="A29" s="45" t="s">
        <v>89</v>
      </c>
      <c r="B29" s="117">
        <v>0.06</v>
      </c>
    </row>
    <row r="30" spans="1:11" ht="13.8" thickBot="1"/>
    <row r="31" spans="1:11">
      <c r="A31" s="6" t="s">
        <v>107</v>
      </c>
      <c r="B31" s="58"/>
      <c r="C31" s="88" t="s">
        <v>94</v>
      </c>
      <c r="D31" s="87" t="s">
        <v>91</v>
      </c>
      <c r="E31" s="90" t="s">
        <v>92</v>
      </c>
      <c r="F31" s="90" t="s">
        <v>93</v>
      </c>
      <c r="G31" s="90" t="s">
        <v>94</v>
      </c>
      <c r="H31" s="90" t="s">
        <v>100</v>
      </c>
      <c r="I31" s="91" t="s">
        <v>101</v>
      </c>
      <c r="J31" s="91" t="s">
        <v>111</v>
      </c>
      <c r="K31" s="91" t="s">
        <v>90</v>
      </c>
    </row>
    <row r="32" spans="1:11">
      <c r="A32" s="26" t="s">
        <v>104</v>
      </c>
      <c r="B32" s="19">
        <f>IF(Serviceability!H55=0,0,-PMT((D32)/12,J32*12,Serviceability!G55))</f>
        <v>0</v>
      </c>
      <c r="C32" s="75">
        <f>G32</f>
        <v>0.02</v>
      </c>
      <c r="D32" s="93">
        <f>IF(C32&gt;=$B$29,C32,$B$29)</f>
        <v>0.06</v>
      </c>
      <c r="E32" s="65">
        <f>Serviceability!J55</f>
        <v>0</v>
      </c>
      <c r="F32" s="65">
        <f>$B$28</f>
        <v>0.02</v>
      </c>
      <c r="G32" s="65">
        <f>E32+F32</f>
        <v>0.02</v>
      </c>
      <c r="H32" s="89">
        <f>Serviceability!H55</f>
        <v>0</v>
      </c>
      <c r="I32" s="89">
        <f>Serviceability!I55</f>
        <v>0</v>
      </c>
      <c r="J32" s="89">
        <f>H32-I32</f>
        <v>0</v>
      </c>
      <c r="K32">
        <f>Serviceability!G55</f>
        <v>0</v>
      </c>
    </row>
    <row r="33" spans="1:15" ht="13.8" thickBot="1">
      <c r="A33" s="28" t="s">
        <v>105</v>
      </c>
      <c r="B33" s="22">
        <f>IF(Serviceability!H56=0,0,-PMT((D33)/12,J33*12,Serviceability!G56))</f>
        <v>0</v>
      </c>
      <c r="C33" s="76">
        <f>G33</f>
        <v>0.02</v>
      </c>
      <c r="D33" s="92">
        <f>IF(C33&gt;=$B$29,C33,$B$29)</f>
        <v>0.06</v>
      </c>
      <c r="E33" s="65">
        <f>Serviceability!J56</f>
        <v>0</v>
      </c>
      <c r="F33" s="65">
        <f>$B$28</f>
        <v>0.02</v>
      </c>
      <c r="G33" s="65">
        <f>E33+F33</f>
        <v>0.02</v>
      </c>
      <c r="H33" s="89">
        <f>Serviceability!H56</f>
        <v>0</v>
      </c>
      <c r="I33" s="89">
        <f>Serviceability!I56</f>
        <v>0</v>
      </c>
      <c r="J33" s="89">
        <f>H33-I33</f>
        <v>0</v>
      </c>
      <c r="K33">
        <f>Serviceability!G56</f>
        <v>0</v>
      </c>
    </row>
    <row r="34" spans="1:15">
      <c r="B34" s="19"/>
      <c r="G34" s="62"/>
      <c r="H34" s="62"/>
    </row>
    <row r="35" spans="1:15" ht="13.8" thickBot="1"/>
    <row r="36" spans="1:15">
      <c r="A36" s="6" t="s">
        <v>106</v>
      </c>
      <c r="B36" s="58"/>
      <c r="C36" s="57"/>
    </row>
    <row r="37" spans="1:15">
      <c r="A37" s="26" t="s">
        <v>104</v>
      </c>
      <c r="B37" s="116">
        <v>0.2</v>
      </c>
      <c r="C37" s="77">
        <f>Serviceability!L59*(1+Tables!B37)</f>
        <v>0</v>
      </c>
      <c r="G37">
        <f>Serviceability!L59</f>
        <v>0</v>
      </c>
      <c r="H37" t="str">
        <f>Serviceability!E59</f>
        <v>Loan 1 - Existing Secured</v>
      </c>
    </row>
    <row r="38" spans="1:15">
      <c r="A38" s="26" t="s">
        <v>105</v>
      </c>
      <c r="B38" s="116">
        <v>0.2</v>
      </c>
      <c r="C38" s="77">
        <f>Serviceability!L60*(1+Tables!B38)</f>
        <v>0</v>
      </c>
      <c r="G38">
        <f>Serviceability!L60</f>
        <v>0</v>
      </c>
      <c r="H38" t="str">
        <f>Serviceability!E60</f>
        <v>Loan 2 - Existing Secured</v>
      </c>
    </row>
    <row r="39" spans="1:15" ht="13.8" thickBot="1">
      <c r="A39" s="28"/>
      <c r="B39" s="76"/>
      <c r="C39" s="78"/>
    </row>
    <row r="40" spans="1:15" ht="13.8" thickBot="1"/>
    <row r="41" spans="1:15" ht="13.8" thickBot="1">
      <c r="A41" s="79" t="s">
        <v>85</v>
      </c>
      <c r="B41" s="80"/>
      <c r="C41" s="81"/>
      <c r="D41" s="82"/>
      <c r="G41" t="s">
        <v>47</v>
      </c>
    </row>
    <row r="42" spans="1:15" ht="13.8" thickBot="1">
      <c r="A42" s="83" t="s">
        <v>108</v>
      </c>
      <c r="B42" s="114">
        <v>15</v>
      </c>
      <c r="C42" s="85">
        <f>IF(Serviceability!L55=0,0,15)</f>
        <v>0</v>
      </c>
      <c r="D42" s="84" t="s">
        <v>86</v>
      </c>
      <c r="G42" t="s">
        <v>47</v>
      </c>
    </row>
    <row r="43" spans="1:15">
      <c r="A43" s="83" t="s">
        <v>109</v>
      </c>
      <c r="B43" s="115">
        <v>15</v>
      </c>
      <c r="C43" s="85">
        <f>IF(Serviceability!L56=0,0,15)</f>
        <v>0</v>
      </c>
      <c r="D43" s="86" t="s">
        <v>86</v>
      </c>
      <c r="G43" t="s">
        <v>47</v>
      </c>
    </row>
    <row r="45" spans="1:15" hidden="1"/>
    <row r="46" spans="1:15" hidden="1"/>
    <row r="47" spans="1:15" hidden="1">
      <c r="A47" t="s">
        <v>233</v>
      </c>
      <c r="B47" s="265" t="s">
        <v>234</v>
      </c>
      <c r="C47" s="266" t="s">
        <v>235</v>
      </c>
      <c r="D47" s="266" t="s">
        <v>236</v>
      </c>
      <c r="E47" s="266" t="s">
        <v>237</v>
      </c>
      <c r="F47" s="266" t="s">
        <v>238</v>
      </c>
      <c r="G47" s="266" t="s">
        <v>239</v>
      </c>
      <c r="H47" s="266" t="s">
        <v>240</v>
      </c>
      <c r="I47" s="267" t="s">
        <v>241</v>
      </c>
      <c r="J47" s="267" t="s">
        <v>242</v>
      </c>
      <c r="K47" s="267" t="s">
        <v>243</v>
      </c>
      <c r="L47" s="267" t="s">
        <v>244</v>
      </c>
      <c r="M47" t="s">
        <v>245</v>
      </c>
      <c r="N47" s="267" t="s">
        <v>246</v>
      </c>
      <c r="O47" s="267" t="s">
        <v>247</v>
      </c>
    </row>
    <row r="48" spans="1:15" ht="14.4" hidden="1">
      <c r="A48" s="268" t="s">
        <v>248</v>
      </c>
      <c r="B48" s="269" t="s">
        <v>249</v>
      </c>
      <c r="C48" s="269" t="s">
        <v>249</v>
      </c>
      <c r="D48" s="269" t="s">
        <v>249</v>
      </c>
      <c r="E48" s="270" t="s">
        <v>249</v>
      </c>
      <c r="F48" s="270" t="s">
        <v>249</v>
      </c>
      <c r="G48" s="270" t="s">
        <v>249</v>
      </c>
      <c r="H48" s="270" t="s">
        <v>249</v>
      </c>
      <c r="I48" s="269" t="s">
        <v>249</v>
      </c>
      <c r="J48" s="269" t="s">
        <v>249</v>
      </c>
      <c r="K48" s="269" t="s">
        <v>249</v>
      </c>
      <c r="L48" s="269" t="s">
        <v>249</v>
      </c>
      <c r="M48" s="269" t="s">
        <v>249</v>
      </c>
      <c r="N48" s="271" t="s">
        <v>249</v>
      </c>
      <c r="O48" s="269" t="s">
        <v>249</v>
      </c>
    </row>
    <row r="49" spans="1:15" ht="14.4" hidden="1">
      <c r="A49" s="268" t="s">
        <v>306</v>
      </c>
      <c r="B49" s="314">
        <f>251*52.2/12</f>
        <v>1091.8500000000001</v>
      </c>
      <c r="C49" s="314"/>
      <c r="D49" s="314"/>
      <c r="E49" s="273"/>
      <c r="F49" s="273"/>
      <c r="G49" s="273"/>
      <c r="H49" s="273"/>
      <c r="I49" s="314" t="s">
        <v>307</v>
      </c>
      <c r="J49" s="314" t="s">
        <v>307</v>
      </c>
      <c r="K49" s="314" t="s">
        <v>307</v>
      </c>
      <c r="L49" s="314" t="s">
        <v>307</v>
      </c>
      <c r="M49" s="314" t="s">
        <v>307</v>
      </c>
      <c r="N49" s="315" t="s">
        <v>307</v>
      </c>
      <c r="O49" s="314" t="s">
        <v>307</v>
      </c>
    </row>
    <row r="50" spans="1:15" ht="14.4" hidden="1">
      <c r="A50" s="268" t="s">
        <v>308</v>
      </c>
      <c r="B50" s="314">
        <f>265*52.2/12</f>
        <v>1152.75</v>
      </c>
      <c r="C50" s="314">
        <f>354*52.2/12</f>
        <v>1539.8999999999999</v>
      </c>
      <c r="D50" s="314">
        <f>445*52.2/12</f>
        <v>1935.75</v>
      </c>
      <c r="E50" s="273" t="s">
        <v>307</v>
      </c>
      <c r="F50" s="273" t="s">
        <v>307</v>
      </c>
      <c r="G50" s="273" t="s">
        <v>307</v>
      </c>
      <c r="H50" s="273" t="s">
        <v>307</v>
      </c>
      <c r="I50" s="314">
        <f>487*52.2/12</f>
        <v>2118.4500000000003</v>
      </c>
      <c r="J50" s="314" t="s">
        <v>307</v>
      </c>
      <c r="K50" s="314" t="s">
        <v>307</v>
      </c>
      <c r="L50" s="314" t="s">
        <v>307</v>
      </c>
      <c r="M50" s="314" t="s">
        <v>307</v>
      </c>
      <c r="N50" s="314" t="s">
        <v>307</v>
      </c>
      <c r="O50" s="314" t="s">
        <v>307</v>
      </c>
    </row>
    <row r="51" spans="1:15" ht="14.4" hidden="1">
      <c r="A51" s="268" t="s">
        <v>309</v>
      </c>
      <c r="B51" s="314">
        <f>280*52.2/12</f>
        <v>1218</v>
      </c>
      <c r="C51" s="314">
        <f>369*52.2/12</f>
        <v>1605.1499999999999</v>
      </c>
      <c r="D51" s="314">
        <f>460*52.2/12</f>
        <v>2001</v>
      </c>
      <c r="E51" s="273">
        <f>552*52.2/12</f>
        <v>2401.2000000000003</v>
      </c>
      <c r="F51" s="273">
        <f>(552+93)*52.2/12</f>
        <v>2805.75</v>
      </c>
      <c r="G51" s="273" t="s">
        <v>307</v>
      </c>
      <c r="H51" s="273" t="s">
        <v>307</v>
      </c>
      <c r="I51" s="314">
        <f>502*52.2/12</f>
        <v>2183.7000000000003</v>
      </c>
      <c r="J51" s="314">
        <f>578*52.2/12</f>
        <v>2514.3000000000002</v>
      </c>
      <c r="K51" s="314">
        <f>636*52.2/12</f>
        <v>2766.6000000000004</v>
      </c>
      <c r="L51" s="314" t="s">
        <v>307</v>
      </c>
      <c r="M51" s="314" t="s">
        <v>307</v>
      </c>
      <c r="N51" s="314" t="s">
        <v>307</v>
      </c>
      <c r="O51" s="314" t="s">
        <v>307</v>
      </c>
    </row>
    <row r="52" spans="1:15" ht="14.4" hidden="1">
      <c r="A52" s="268" t="s">
        <v>310</v>
      </c>
      <c r="B52" s="314">
        <f>301*52.2/12</f>
        <v>1309.3500000000001</v>
      </c>
      <c r="C52" s="314">
        <f>391*52.2/12</f>
        <v>1700.8500000000001</v>
      </c>
      <c r="D52" s="314">
        <f>481*52.2/12</f>
        <v>2092.35</v>
      </c>
      <c r="E52" s="273">
        <f>574*52.2/12</f>
        <v>2496.9</v>
      </c>
      <c r="F52" s="273">
        <f>(574+93)*52.2/12</f>
        <v>2901.4500000000003</v>
      </c>
      <c r="G52" s="273" t="s">
        <v>307</v>
      </c>
      <c r="H52" s="273" t="s">
        <v>307</v>
      </c>
      <c r="I52" s="314">
        <f>523*52.2/12</f>
        <v>2275.0500000000002</v>
      </c>
      <c r="J52" s="314">
        <f>599*52.2/12</f>
        <v>2605.65</v>
      </c>
      <c r="K52" s="314">
        <f>657*52.2/12</f>
        <v>2857.9500000000003</v>
      </c>
      <c r="L52" s="314">
        <f>720*52.2/12</f>
        <v>3132</v>
      </c>
      <c r="M52" s="314" t="s">
        <v>307</v>
      </c>
      <c r="N52" s="314" t="s">
        <v>307</v>
      </c>
      <c r="O52" s="314" t="s">
        <v>307</v>
      </c>
    </row>
    <row r="53" spans="1:15" ht="14.4" hidden="1">
      <c r="A53" s="268" t="s">
        <v>311</v>
      </c>
      <c r="B53" s="314">
        <f>338*52.2/12</f>
        <v>1470.3000000000002</v>
      </c>
      <c r="C53" s="314">
        <f>428*52.2/12</f>
        <v>1861.8000000000002</v>
      </c>
      <c r="D53" s="314">
        <f>519*52.2/12</f>
        <v>2257.65</v>
      </c>
      <c r="E53" s="273">
        <f>612*52.2/12</f>
        <v>2662.2000000000003</v>
      </c>
      <c r="F53" s="273">
        <f>(612+93)*52.2/12</f>
        <v>3066.75</v>
      </c>
      <c r="G53" s="273">
        <f>(612+93+93)*52.2/12</f>
        <v>3471.3000000000006</v>
      </c>
      <c r="H53" s="273" t="s">
        <v>307</v>
      </c>
      <c r="I53" s="314">
        <f>561*52.2/12</f>
        <v>2440.35</v>
      </c>
      <c r="J53" s="314">
        <f>637*52.2/12</f>
        <v>2770.9500000000003</v>
      </c>
      <c r="K53" s="314">
        <f>694*52.2/12</f>
        <v>3018.9</v>
      </c>
      <c r="L53" s="314">
        <f>757*52.2/12</f>
        <v>3292.9500000000003</v>
      </c>
      <c r="M53" s="314">
        <f>(757+63)*52.2/12</f>
        <v>3567</v>
      </c>
      <c r="N53" s="314">
        <f>(757+63+63)*52.2/12</f>
        <v>3841.0500000000006</v>
      </c>
      <c r="O53" s="314" t="s">
        <v>307</v>
      </c>
    </row>
    <row r="54" spans="1:15" ht="14.4" hidden="1">
      <c r="A54" s="268" t="s">
        <v>312</v>
      </c>
      <c r="B54" s="314">
        <f>385*52.2/12</f>
        <v>1674.75</v>
      </c>
      <c r="C54" s="314">
        <f>475*52.2/12</f>
        <v>2066.25</v>
      </c>
      <c r="D54" s="314">
        <f>566*52.2/12</f>
        <v>2462.1</v>
      </c>
      <c r="E54" s="273">
        <f>659*52.2/12</f>
        <v>2866.65</v>
      </c>
      <c r="F54" s="273">
        <f>(659+93)*52.2/12</f>
        <v>3271.2000000000003</v>
      </c>
      <c r="G54" s="273">
        <f>(659+93+93)*52.2/12</f>
        <v>3675.75</v>
      </c>
      <c r="H54" s="273">
        <f>(659+93+93)*52.2/12</f>
        <v>3675.75</v>
      </c>
      <c r="I54" s="314">
        <f>608*52.2/12</f>
        <v>2644.8</v>
      </c>
      <c r="J54" s="314">
        <f>684*52.2/12</f>
        <v>2975.4</v>
      </c>
      <c r="K54" s="314">
        <f>741*52.2/12</f>
        <v>3223.3500000000004</v>
      </c>
      <c r="L54" s="314">
        <f>804*52.2/12</f>
        <v>3497.4</v>
      </c>
      <c r="M54" s="314">
        <f>(804+63)*52.2/12</f>
        <v>3771.4500000000003</v>
      </c>
      <c r="N54" s="314">
        <f>(804+63+63)*52.2/12</f>
        <v>4045.5</v>
      </c>
      <c r="O54" s="314">
        <f>(804+63+63)*52.2/12</f>
        <v>4045.5</v>
      </c>
    </row>
    <row r="55" spans="1:15" ht="14.4" hidden="1">
      <c r="A55" s="316" t="s">
        <v>313</v>
      </c>
      <c r="B55" s="317">
        <f>459*52.2/12</f>
        <v>1996.6500000000003</v>
      </c>
      <c r="C55" s="317">
        <f>549*52.2/12</f>
        <v>2388.15</v>
      </c>
      <c r="D55" s="317">
        <f>640*52.2/12</f>
        <v>2784</v>
      </c>
      <c r="E55" s="274">
        <f>733*52.2/12</f>
        <v>3188.5499999999997</v>
      </c>
      <c r="F55" s="274">
        <f>(733+93)*52.2/12</f>
        <v>3593.1000000000004</v>
      </c>
      <c r="G55" s="274">
        <f>(733+93+93)*52.2/12</f>
        <v>3997.65</v>
      </c>
      <c r="H55" s="274">
        <f>(733+93+93+93)*52.2/12</f>
        <v>4402.2</v>
      </c>
      <c r="I55" s="317">
        <f>682*52.2/12</f>
        <v>2966.7000000000003</v>
      </c>
      <c r="J55" s="317">
        <f>757*52.2/12</f>
        <v>3292.9500000000003</v>
      </c>
      <c r="K55" s="317">
        <f>815*52.2/12</f>
        <v>3545.25</v>
      </c>
      <c r="L55" s="317">
        <f>878*52.2/12</f>
        <v>3819.3000000000006</v>
      </c>
      <c r="M55" s="317">
        <f>(878+63)*52.2/12</f>
        <v>4093.3500000000004</v>
      </c>
      <c r="N55" s="317">
        <f>(878+63+63)*52.2/12</f>
        <v>4367.4000000000005</v>
      </c>
      <c r="O55" s="317">
        <f>(878+63+63)*52.2/12</f>
        <v>4367.4000000000005</v>
      </c>
    </row>
    <row r="56" spans="1:15" ht="14.4" hidden="1">
      <c r="A56" s="272" t="s">
        <v>314</v>
      </c>
      <c r="B56" s="273">
        <f>513*52.2/12</f>
        <v>2231.5500000000002</v>
      </c>
      <c r="C56" s="273">
        <f>603*52.2/12</f>
        <v>2623.05</v>
      </c>
      <c r="D56" s="273">
        <f>693*52.2/12</f>
        <v>3014.5499999999997</v>
      </c>
      <c r="E56" s="273">
        <f>(787)*52.2/12</f>
        <v>3423.4500000000003</v>
      </c>
      <c r="F56" s="273">
        <f>(787+94)*52.2/12</f>
        <v>3832.3500000000004</v>
      </c>
      <c r="G56" s="273">
        <f>(787+94+94)*52.2/12</f>
        <v>4241.25</v>
      </c>
      <c r="H56" s="273">
        <f>(787+94+94+94)*52.2/12</f>
        <v>4650.1500000000005</v>
      </c>
      <c r="I56" s="273">
        <f>735*52.2/12</f>
        <v>3197.25</v>
      </c>
      <c r="J56" s="273">
        <f>811*52.2/12</f>
        <v>3527.8500000000004</v>
      </c>
      <c r="K56" s="273">
        <f>868*52.2/12</f>
        <v>3775.8000000000006</v>
      </c>
      <c r="L56" s="273">
        <f>931*52.2/12</f>
        <v>4049.8500000000004</v>
      </c>
      <c r="M56" s="314">
        <f>(931+63)*52.2/12</f>
        <v>4323.9000000000005</v>
      </c>
      <c r="N56" s="314">
        <f>(931+63+63)*52.2/12</f>
        <v>4597.95</v>
      </c>
      <c r="O56" s="314">
        <f>(931+63+63)*52.2/12</f>
        <v>4597.95</v>
      </c>
    </row>
    <row r="57" spans="1:15" ht="14.4" hidden="1">
      <c r="A57" s="272" t="s">
        <v>315</v>
      </c>
      <c r="B57" s="273">
        <f>603*52.2/12</f>
        <v>2623.05</v>
      </c>
      <c r="C57" s="273">
        <f>693*52.2/12</f>
        <v>3014.5499999999997</v>
      </c>
      <c r="D57" s="273">
        <f>784*52.2/12</f>
        <v>3410.4</v>
      </c>
      <c r="E57" s="273">
        <f>(878)*52.2/12</f>
        <v>3819.3000000000006</v>
      </c>
      <c r="F57" s="273">
        <f>(878+94)*52.2/12</f>
        <v>4228.2</v>
      </c>
      <c r="G57" s="273">
        <f>(878+94+94)*52.2/12</f>
        <v>4637.1000000000004</v>
      </c>
      <c r="H57" s="273">
        <f>(878+94+94+94)*52.2/12</f>
        <v>5046</v>
      </c>
      <c r="I57" s="273">
        <f>826*52.2/12</f>
        <v>3593.1000000000004</v>
      </c>
      <c r="J57" s="273">
        <f>901*52.2/12</f>
        <v>3919.3500000000004</v>
      </c>
      <c r="K57" s="273">
        <f>959*52.2/12</f>
        <v>4171.6500000000005</v>
      </c>
      <c r="L57" s="273">
        <f>1022*52.2/12</f>
        <v>4445.7</v>
      </c>
      <c r="M57" s="314">
        <f>(1022+63)*52.2/12</f>
        <v>4719.75</v>
      </c>
      <c r="N57" s="314">
        <f>(1022+63+63)*52.2/12</f>
        <v>4993.8</v>
      </c>
      <c r="O57" s="314">
        <f>(1022+63+63)*52.2/12</f>
        <v>4993.8</v>
      </c>
    </row>
    <row r="58" spans="1:15" ht="14.4" hidden="1">
      <c r="A58" s="272" t="s">
        <v>316</v>
      </c>
      <c r="B58" s="273">
        <f>637*52.2/12</f>
        <v>2770.9500000000003</v>
      </c>
      <c r="C58" s="273">
        <f>727*52.2/12</f>
        <v>3162.4500000000003</v>
      </c>
      <c r="D58" s="273">
        <f>818*52.2/12</f>
        <v>3558.3000000000006</v>
      </c>
      <c r="E58" s="273">
        <f>(912)*52.2/12</f>
        <v>3967.2000000000003</v>
      </c>
      <c r="F58" s="273">
        <f>(912+94)*52.2/12</f>
        <v>4376.1000000000004</v>
      </c>
      <c r="G58" s="273">
        <f>(912+94+94)*52.2/12</f>
        <v>4785</v>
      </c>
      <c r="H58" s="273">
        <f>(912+94+94+94)*52.2/12</f>
        <v>5193.9000000000005</v>
      </c>
      <c r="I58" s="273">
        <f>860*52.2/12</f>
        <v>3741</v>
      </c>
      <c r="J58" s="273">
        <f>935*52.2/12</f>
        <v>4067.25</v>
      </c>
      <c r="K58" s="273">
        <f>993*52.2/12</f>
        <v>4319.55</v>
      </c>
      <c r="L58" s="273">
        <f>1056*52.2/12</f>
        <v>4593.6000000000004</v>
      </c>
      <c r="M58" s="314">
        <f>(1056+63)*52.2/12</f>
        <v>4867.6500000000005</v>
      </c>
      <c r="N58" s="314">
        <f>(1056+63+63)*52.2/12</f>
        <v>5141.7</v>
      </c>
      <c r="O58" s="314">
        <f>(1056+63+63)*52.2/12</f>
        <v>5141.7</v>
      </c>
    </row>
    <row r="59" spans="1:15" ht="14.4" hidden="1">
      <c r="A59" s="272" t="s">
        <v>317</v>
      </c>
      <c r="B59" s="273">
        <f>676*52.2/12</f>
        <v>2940.6000000000004</v>
      </c>
      <c r="C59" s="273">
        <f>766*52.2/12</f>
        <v>3332.1000000000004</v>
      </c>
      <c r="D59" s="273">
        <f>857*52.2/12</f>
        <v>3727.9500000000003</v>
      </c>
      <c r="E59" s="273">
        <f>(951)*52.2/12</f>
        <v>4136.8500000000004</v>
      </c>
      <c r="F59" s="273">
        <f>(951+94)*52.2/12</f>
        <v>4545.75</v>
      </c>
      <c r="G59" s="273">
        <f>(951+94+94)*52.2/12</f>
        <v>4954.6500000000005</v>
      </c>
      <c r="H59" s="273">
        <f>(951+94+94+94)*52.2/12</f>
        <v>5363.55</v>
      </c>
      <c r="I59" s="273">
        <f>899*52.2/12</f>
        <v>3910.65</v>
      </c>
      <c r="J59" s="273">
        <f>974*52.2/12</f>
        <v>4236.9000000000005</v>
      </c>
      <c r="K59" s="273">
        <f>1032*52.2/12</f>
        <v>4489.2</v>
      </c>
      <c r="L59" s="273">
        <f>1095*52.2/12</f>
        <v>4763.25</v>
      </c>
      <c r="M59" s="314">
        <f>(1095+63)*52.2/12</f>
        <v>5037.3</v>
      </c>
      <c r="N59" s="314">
        <f>(1095+63+63)*52.2/12</f>
        <v>5311.35</v>
      </c>
      <c r="O59" s="314">
        <f>(1095+63+63)*52.2/12</f>
        <v>5311.35</v>
      </c>
    </row>
    <row r="60" spans="1:15" ht="14.4" hidden="1">
      <c r="A60" s="272" t="s">
        <v>318</v>
      </c>
      <c r="B60" s="273">
        <f>781*52.2/12</f>
        <v>3397.3500000000004</v>
      </c>
      <c r="C60" s="273">
        <f>871*52.2/12</f>
        <v>3788.8500000000004</v>
      </c>
      <c r="D60" s="273">
        <f>962*52.2/12</f>
        <v>4184.7</v>
      </c>
      <c r="E60" s="273">
        <f>(1056)*52.2/12</f>
        <v>4593.6000000000004</v>
      </c>
      <c r="F60" s="273">
        <f>(1056+95)*52.2/12</f>
        <v>5006.8500000000004</v>
      </c>
      <c r="G60" s="273">
        <f>(1056+95+95)*52.2/12</f>
        <v>5420.1</v>
      </c>
      <c r="H60" s="273">
        <f>(1056+95+95+95)*52.2/12</f>
        <v>5833.3499999999995</v>
      </c>
      <c r="I60" s="273">
        <f>1004*52.2/12</f>
        <v>4367.4000000000005</v>
      </c>
      <c r="J60" s="273">
        <f>1079*52.2/12</f>
        <v>4693.6500000000005</v>
      </c>
      <c r="K60" s="273">
        <f>1136*52.2/12</f>
        <v>4941.6000000000004</v>
      </c>
      <c r="L60" s="273">
        <f>1199*52.2/12</f>
        <v>5215.6500000000005</v>
      </c>
      <c r="M60" s="314">
        <f>(1199+63)*52.2/12</f>
        <v>5489.7000000000007</v>
      </c>
      <c r="N60" s="314">
        <f>(1199+63+63)*52.2/12</f>
        <v>5763.75</v>
      </c>
      <c r="O60" s="314">
        <f>(1199+63+63)*52.2/12</f>
        <v>5763.75</v>
      </c>
    </row>
    <row r="61" spans="1:15" ht="14.4" hidden="1">
      <c r="A61" s="272" t="s">
        <v>319</v>
      </c>
      <c r="B61" s="273">
        <f>912*52.2/12</f>
        <v>3967.2000000000003</v>
      </c>
      <c r="C61" s="273">
        <f>1003*52.2/12</f>
        <v>4363.05</v>
      </c>
      <c r="D61" s="273">
        <f>1093*52.2/12</f>
        <v>4754.55</v>
      </c>
      <c r="E61" s="273">
        <f>(1188)*52.2/12</f>
        <v>5167.8</v>
      </c>
      <c r="F61" s="273">
        <f>(1188+95)*52.2/12</f>
        <v>5581.05</v>
      </c>
      <c r="G61" s="273">
        <f>(1188+95+95)*52.2/12</f>
        <v>5994.3</v>
      </c>
      <c r="H61" s="273">
        <f>(1188+95+95+95)*52.2/12</f>
        <v>6407.55</v>
      </c>
      <c r="I61" s="273">
        <f>1135*52.2/12</f>
        <v>4937.25</v>
      </c>
      <c r="J61" s="273">
        <f>1210*52.2/12</f>
        <v>5263.5</v>
      </c>
      <c r="K61" s="273">
        <f>1268*52.2/12</f>
        <v>5515.8</v>
      </c>
      <c r="L61" s="273">
        <f>1330*52.2/12</f>
        <v>5785.5</v>
      </c>
      <c r="M61" s="314">
        <f>(1330+63)*52.2/12</f>
        <v>6059.55</v>
      </c>
      <c r="N61" s="314">
        <f>(1330+63+63)*52.2/12</f>
        <v>6333.5999999999995</v>
      </c>
      <c r="O61" s="314">
        <f>(1330+63+63)*52.2/12</f>
        <v>6333.5999999999995</v>
      </c>
    </row>
    <row r="62" spans="1:15" ht="14.4" hidden="1">
      <c r="A62" s="272" t="s">
        <v>320</v>
      </c>
      <c r="B62" s="273">
        <f>944*52.2/12</f>
        <v>4106.4000000000005</v>
      </c>
      <c r="C62" s="273">
        <f>1034*52.2/12</f>
        <v>4497.9000000000005</v>
      </c>
      <c r="D62" s="273">
        <f>1125*52.2/12</f>
        <v>4893.75</v>
      </c>
      <c r="E62" s="273">
        <f>(1220)*52.2/12</f>
        <v>5307</v>
      </c>
      <c r="F62" s="273">
        <f>(1220+95)*52.2/12</f>
        <v>5720.25</v>
      </c>
      <c r="G62" s="273">
        <f>(1220+95+95)*52.2/12</f>
        <v>6133.5</v>
      </c>
      <c r="H62" s="273">
        <f>(1220+95+95+95)*52.2/12</f>
        <v>6546.75</v>
      </c>
      <c r="I62" s="273">
        <f>1167*52.2/12</f>
        <v>5076.45</v>
      </c>
      <c r="J62" s="273">
        <f>1241*52.2/12</f>
        <v>5398.35</v>
      </c>
      <c r="K62" s="273">
        <f>1299*52.2/12</f>
        <v>5650.6500000000005</v>
      </c>
      <c r="L62" s="273">
        <f>1362*52.2/12</f>
        <v>5924.7000000000007</v>
      </c>
      <c r="M62" s="314">
        <f>(1362+63)*52.2/12</f>
        <v>6198.75</v>
      </c>
      <c r="N62" s="314">
        <f>(1362+63+63)*52.2/12</f>
        <v>6472.8</v>
      </c>
      <c r="O62" s="314">
        <f>(1362+63+63)*52.2/12</f>
        <v>6472.8</v>
      </c>
    </row>
    <row r="63" spans="1:15" hidden="1">
      <c r="A63" s="320" t="s">
        <v>47</v>
      </c>
      <c r="B63" s="313"/>
      <c r="C63" s="313"/>
      <c r="D63" s="313"/>
      <c r="E63" s="313"/>
      <c r="F63" s="313"/>
      <c r="G63" s="313"/>
      <c r="H63" s="313"/>
      <c r="I63" s="313"/>
      <c r="J63" s="313"/>
      <c r="K63" s="313"/>
      <c r="L63" s="313"/>
      <c r="M63" s="313"/>
      <c r="N63" s="313"/>
      <c r="O63" s="313"/>
    </row>
    <row r="64" spans="1:15" hidden="1">
      <c r="A64" s="320"/>
      <c r="B64" s="313"/>
      <c r="C64" s="313"/>
      <c r="D64" s="313"/>
      <c r="E64" s="313"/>
      <c r="F64" s="313"/>
      <c r="G64" s="313"/>
      <c r="H64" s="313"/>
      <c r="I64" s="313"/>
      <c r="J64" s="313"/>
      <c r="K64" s="313"/>
      <c r="L64" s="313"/>
      <c r="M64" s="313"/>
      <c r="N64" s="313"/>
      <c r="O64" s="313"/>
    </row>
    <row r="65" spans="1:15" hidden="1">
      <c r="A65" s="320"/>
      <c r="B65" s="313"/>
      <c r="C65" s="313"/>
      <c r="D65" s="313"/>
      <c r="E65" s="313"/>
      <c r="F65" s="313"/>
      <c r="G65" s="313"/>
      <c r="H65" s="313"/>
      <c r="I65" s="313"/>
      <c r="J65" s="313"/>
      <c r="K65" s="313"/>
      <c r="L65" s="313"/>
      <c r="M65" s="313"/>
      <c r="N65" s="313"/>
      <c r="O65" s="313"/>
    </row>
    <row r="66" spans="1:15" hidden="1">
      <c r="A66" s="312"/>
      <c r="B66" s="313"/>
      <c r="C66" s="313"/>
      <c r="D66" s="313"/>
      <c r="E66" s="313"/>
      <c r="F66" s="313"/>
      <c r="G66" s="313"/>
      <c r="H66" s="313"/>
      <c r="I66" s="313"/>
      <c r="J66" s="313"/>
      <c r="K66" s="313"/>
      <c r="L66" s="313"/>
      <c r="M66" s="313"/>
      <c r="N66" s="313"/>
      <c r="O66" s="313"/>
    </row>
    <row r="67" spans="1:15" hidden="1">
      <c r="A67" s="31"/>
    </row>
    <row r="68" spans="1:15" hidden="1">
      <c r="A68" t="s">
        <v>250</v>
      </c>
    </row>
    <row r="69" spans="1:15" hidden="1">
      <c r="A69" t="s">
        <v>251</v>
      </c>
      <c r="B69" s="407" t="s">
        <v>282</v>
      </c>
      <c r="C69" s="408"/>
      <c r="F69" s="407" t="s">
        <v>281</v>
      </c>
      <c r="G69" s="408"/>
      <c r="H69" s="407" t="s">
        <v>288</v>
      </c>
      <c r="I69" s="408"/>
    </row>
    <row r="70" spans="1:15" hidden="1"/>
    <row r="71" spans="1:15" hidden="1">
      <c r="B71" t="s">
        <v>250</v>
      </c>
      <c r="C71" t="s">
        <v>251</v>
      </c>
      <c r="F71" t="s">
        <v>250</v>
      </c>
      <c r="G71" t="s">
        <v>251</v>
      </c>
      <c r="I71" s="31" t="s">
        <v>289</v>
      </c>
    </row>
    <row r="72" spans="1:15" ht="17.399999999999999" hidden="1">
      <c r="A72" s="222" t="s">
        <v>74</v>
      </c>
      <c r="B72">
        <f>IF(EXACT(Serviceability!F13, "Household 1"),Serviceability!G13,0)</f>
        <v>100000</v>
      </c>
      <c r="C72">
        <f>IF(EXACT(Serviceability!F13, "Household 2"),Serviceability!G13,0)</f>
        <v>0</v>
      </c>
      <c r="E72" s="222" t="s">
        <v>74</v>
      </c>
      <c r="F72">
        <f>IF(EXACT(Serviceability!F19, "Household 1"),Serviceability!L19,0)</f>
        <v>0</v>
      </c>
      <c r="G72">
        <f>IF(EXACT(Serviceability!F19, "Household 2"),Serviceability!L19,0)</f>
        <v>0</v>
      </c>
      <c r="H72" s="222" t="s">
        <v>74</v>
      </c>
      <c r="I72">
        <f>Serviceability!G30</f>
        <v>0</v>
      </c>
    </row>
    <row r="73" spans="1:15" ht="17.399999999999999" hidden="1">
      <c r="A73" s="222" t="s">
        <v>75</v>
      </c>
      <c r="B73">
        <f>IF(EXACT(Serviceability!F14, "Household 1"),Serviceability!G14,0)</f>
        <v>0</v>
      </c>
      <c r="C73">
        <f>IF(EXACT(Serviceability!F14, "Household 2"),Serviceability!G14,0)</f>
        <v>150000</v>
      </c>
      <c r="E73" s="222" t="s">
        <v>75</v>
      </c>
      <c r="F73">
        <f>IF(EXACT(Serviceability!F20, "Household 1"),Serviceability!L20,0)</f>
        <v>0</v>
      </c>
      <c r="G73">
        <f>IF(EXACT(Serviceability!F20, "Household 2"),Serviceability!L20,0)</f>
        <v>0</v>
      </c>
    </row>
    <row r="74" spans="1:15" ht="17.399999999999999" hidden="1">
      <c r="A74" s="222" t="s">
        <v>76</v>
      </c>
      <c r="B74">
        <f>IF(EXACT(Serviceability!F15, "Household 1"),Serviceability!G15,0)</f>
        <v>0</v>
      </c>
      <c r="C74">
        <f>IF(EXACT(Serviceability!F15, "Household 2"),Serviceability!G15,0)</f>
        <v>0</v>
      </c>
      <c r="E74" s="222" t="s">
        <v>76</v>
      </c>
      <c r="F74">
        <f>IF(EXACT(Serviceability!F21, "Household 1"),Serviceability!L21,0)</f>
        <v>0</v>
      </c>
      <c r="G74">
        <f>IF(EXACT(Serviceability!F21, "Household 2"),Serviceability!L21,0)</f>
        <v>0</v>
      </c>
    </row>
    <row r="75" spans="1:15" ht="17.399999999999999" hidden="1">
      <c r="A75" s="222" t="s">
        <v>77</v>
      </c>
      <c r="B75">
        <f>IF(EXACT(Serviceability!F16, "Household 1"),Serviceability!G16,0)</f>
        <v>0</v>
      </c>
      <c r="C75">
        <f>IF(EXACT(Serviceability!F16, "Household 2"),Serviceability!G16,0)</f>
        <v>0</v>
      </c>
      <c r="E75" s="222" t="s">
        <v>77</v>
      </c>
      <c r="F75">
        <f>IF(EXACT(Serviceability!F22, "Household 1"),Serviceability!L22,0)</f>
        <v>0</v>
      </c>
      <c r="G75">
        <f>IF(EXACT(Serviceability!F22, "Household 2"),Serviceability!L22,0)</f>
        <v>0</v>
      </c>
    </row>
    <row r="76" spans="1:15" ht="17.399999999999999" hidden="1">
      <c r="A76" s="184" t="s">
        <v>252</v>
      </c>
      <c r="B76">
        <f>SUM(B72:B75,F76,I72)</f>
        <v>100000</v>
      </c>
      <c r="C76">
        <f>SUM(C72:C75,G76)</f>
        <v>150000</v>
      </c>
      <c r="E76" s="184" t="s">
        <v>252</v>
      </c>
      <c r="F76">
        <f>SUM(F72:F75)*12</f>
        <v>0</v>
      </c>
      <c r="G76">
        <f>SUM(G72:G75)*12</f>
        <v>0</v>
      </c>
    </row>
    <row r="77" spans="1:15" hidden="1"/>
    <row r="78" spans="1:15" ht="17.399999999999999" hidden="1">
      <c r="A78" s="184" t="s">
        <v>253</v>
      </c>
      <c r="B78" s="275" t="s">
        <v>294</v>
      </c>
      <c r="C78" t="str">
        <f>IF(C76&lt;=59999,"test",IF(B3&gt;93,"A",IF(B3&gt;89,"A-",IF(B3&gt;87,"B+",IF(B3&gt;83,"B",IF(B3&gt;79,"B-", IF(B3&gt;77,"C+",IF(B3&gt;73,"C",IF(B3&gt;69,"C-",IF(B3&gt;57,"D+",IF(B3&gt;53,"D",IF(B3&gt;49,"D-",""))))))))))))</f>
        <v/>
      </c>
    </row>
    <row r="79" spans="1:15" ht="17.399999999999999" hidden="1">
      <c r="A79" s="184" t="s">
        <v>254</v>
      </c>
      <c r="B79" s="275" t="e">
        <v>#REF!</v>
      </c>
    </row>
    <row r="80" spans="1:15" ht="17.399999999999999" hidden="1">
      <c r="A80" s="184" t="s">
        <v>255</v>
      </c>
    </row>
    <row r="81" spans="1:14" ht="17.399999999999999" hidden="1">
      <c r="A81" s="184"/>
    </row>
    <row r="82" spans="1:14" ht="17.399999999999999" hidden="1">
      <c r="A82" s="184" t="s">
        <v>256</v>
      </c>
      <c r="B82">
        <f>Serviceability!G41</f>
        <v>1</v>
      </c>
      <c r="C82">
        <f>Serviceability!G43</f>
        <v>2</v>
      </c>
      <c r="E82" t="str">
        <f>IF(Serviceability!G41&gt;2, "Please call 1300 722 462 for assistance with calculation "," ")</f>
        <v xml:space="preserve"> </v>
      </c>
      <c r="N82" s="332" t="s">
        <v>352</v>
      </c>
    </row>
    <row r="83" spans="1:14" ht="17.399999999999999" hidden="1">
      <c r="A83" s="184" t="s">
        <v>257</v>
      </c>
      <c r="B83">
        <f>Serviceability!G42</f>
        <v>2</v>
      </c>
      <c r="C83">
        <f>Serviceability!G44</f>
        <v>3</v>
      </c>
      <c r="E83" t="str">
        <f>IF(Serviceability!G43&gt;2, "Please call 1300 722 462 for assistance with calculation "," ")</f>
        <v xml:space="preserve"> </v>
      </c>
    </row>
    <row r="84" spans="1:14" hidden="1">
      <c r="B84" t="str">
        <f>"Adult-" &amp; B82 &amp; ",Dependents-" &amp; B83</f>
        <v>Adult-1,Dependents-2</v>
      </c>
      <c r="C84" t="str">
        <f>"Adult-" &amp; C82 &amp; ",Dependents-" &amp; C83</f>
        <v>Adult-2,Dependents-3</v>
      </c>
    </row>
    <row r="85" spans="1:14" hidden="1"/>
    <row r="86" spans="1:14" hidden="1">
      <c r="A86" t="s">
        <v>258</v>
      </c>
      <c r="B86" t="s">
        <v>259</v>
      </c>
      <c r="C86" t="s">
        <v>260</v>
      </c>
      <c r="D86" t="s">
        <v>261</v>
      </c>
    </row>
    <row r="87" spans="1:14" ht="14.4" hidden="1">
      <c r="A87" t="str">
        <f>B87 &amp; ":" &amp; C87</f>
        <v>Adult-1,Dependents-0:0-21000</v>
      </c>
      <c r="B87" t="s">
        <v>262</v>
      </c>
      <c r="C87" s="321" t="s">
        <v>321</v>
      </c>
      <c r="D87" s="318">
        <f>251*52.2/12</f>
        <v>1091.8500000000001</v>
      </c>
    </row>
    <row r="88" spans="1:14" ht="14.4" hidden="1">
      <c r="A88" t="str">
        <f t="shared" ref="A88:A115" si="0">B88 &amp; ":" &amp; C88</f>
        <v>Adult-1,Dependents-0:21000-32000</v>
      </c>
      <c r="B88" t="s">
        <v>262</v>
      </c>
      <c r="C88" s="321" t="s">
        <v>322</v>
      </c>
      <c r="D88" s="319">
        <f>265*52.2/12</f>
        <v>1152.75</v>
      </c>
    </row>
    <row r="89" spans="1:14" ht="14.4" hidden="1">
      <c r="A89" t="str">
        <f t="shared" si="0"/>
        <v>Adult-1,Dependents-0:32001-43000</v>
      </c>
      <c r="B89" t="s">
        <v>262</v>
      </c>
      <c r="C89" s="321" t="s">
        <v>323</v>
      </c>
      <c r="D89" s="318">
        <f>280*52.2/12</f>
        <v>1218</v>
      </c>
    </row>
    <row r="90" spans="1:14" ht="14.4" hidden="1">
      <c r="A90" t="str">
        <f t="shared" si="0"/>
        <v>Adult-1,Dependents-0:43001-53000</v>
      </c>
      <c r="B90" t="s">
        <v>262</v>
      </c>
      <c r="C90" s="321" t="s">
        <v>324</v>
      </c>
      <c r="D90" s="319">
        <f>301*52.2/12</f>
        <v>1309.3500000000001</v>
      </c>
    </row>
    <row r="91" spans="1:14" ht="14.4" hidden="1">
      <c r="A91" t="str">
        <f t="shared" si="0"/>
        <v>Adult-1,Dependents-0:53001-64000</v>
      </c>
      <c r="B91" t="s">
        <v>262</v>
      </c>
      <c r="C91" s="321" t="s">
        <v>325</v>
      </c>
      <c r="D91" s="318">
        <f>338*52.2/12</f>
        <v>1470.3000000000002</v>
      </c>
    </row>
    <row r="92" spans="1:14" ht="14.4" hidden="1">
      <c r="A92" t="str">
        <f t="shared" si="0"/>
        <v>Adult-1,Dependents-0:64001-85000</v>
      </c>
      <c r="B92" t="s">
        <v>262</v>
      </c>
      <c r="C92" s="321" t="s">
        <v>326</v>
      </c>
      <c r="D92" s="319">
        <f>385*52.2/12</f>
        <v>1674.75</v>
      </c>
    </row>
    <row r="93" spans="1:14" ht="14.4" hidden="1">
      <c r="A93" t="str">
        <f t="shared" si="0"/>
        <v>Adult-1,Dependents-0:85001-107000</v>
      </c>
      <c r="B93" t="s">
        <v>262</v>
      </c>
      <c r="C93" s="321" t="s">
        <v>327</v>
      </c>
      <c r="D93" s="318">
        <f>459*52.2/12</f>
        <v>1996.6500000000003</v>
      </c>
    </row>
    <row r="94" spans="1:14" hidden="1">
      <c r="A94" t="str">
        <f t="shared" si="0"/>
        <v>Adult-1,Dependents-0:107001-128000</v>
      </c>
      <c r="B94" t="s">
        <v>262</v>
      </c>
      <c r="C94" s="321" t="s">
        <v>328</v>
      </c>
      <c r="D94" s="277">
        <f>513*52.2/12</f>
        <v>2231.5500000000002</v>
      </c>
    </row>
    <row r="95" spans="1:14" hidden="1">
      <c r="A95" t="str">
        <f t="shared" si="0"/>
        <v>Adult-1,Dependents-0:128001-150000</v>
      </c>
      <c r="B95" t="s">
        <v>262</v>
      </c>
      <c r="C95" s="321" t="s">
        <v>329</v>
      </c>
      <c r="D95" s="276">
        <f>603*52.2/12</f>
        <v>2623.05</v>
      </c>
    </row>
    <row r="96" spans="1:14" hidden="1">
      <c r="A96" t="str">
        <f t="shared" si="0"/>
        <v>Adult-1,Dependents-0:150001-171000</v>
      </c>
      <c r="B96" t="s">
        <v>262</v>
      </c>
      <c r="C96" s="321" t="s">
        <v>330</v>
      </c>
      <c r="D96" s="277">
        <f>637*52.2/12</f>
        <v>2770.9500000000003</v>
      </c>
    </row>
    <row r="97" spans="1:4" hidden="1">
      <c r="A97" t="str">
        <f t="shared" si="0"/>
        <v>Adult-1,Dependents-0:171001-214000</v>
      </c>
      <c r="B97" t="s">
        <v>262</v>
      </c>
      <c r="C97" s="321" t="s">
        <v>331</v>
      </c>
      <c r="D97" s="276">
        <f>676*52.2/12</f>
        <v>2940.6000000000004</v>
      </c>
    </row>
    <row r="98" spans="1:4" hidden="1">
      <c r="A98" t="str">
        <f t="shared" si="0"/>
        <v>Adult-1,Dependents-0:214001-267000</v>
      </c>
      <c r="B98" t="s">
        <v>262</v>
      </c>
      <c r="C98" s="321" t="s">
        <v>332</v>
      </c>
      <c r="D98" s="277">
        <f>781*52.2/12</f>
        <v>3397.3500000000004</v>
      </c>
    </row>
    <row r="99" spans="1:4" hidden="1">
      <c r="A99" t="str">
        <f t="shared" si="0"/>
        <v>Adult-1,Dependents-0:267001-321000</v>
      </c>
      <c r="B99" t="s">
        <v>262</v>
      </c>
      <c r="C99" s="321" t="s">
        <v>333</v>
      </c>
      <c r="D99" s="276">
        <f>912*52.2/12</f>
        <v>3967.2000000000003</v>
      </c>
    </row>
    <row r="100" spans="1:4" hidden="1">
      <c r="A100" t="str">
        <f t="shared" si="0"/>
        <v>Adult-1,Dependents-0:321000+</v>
      </c>
      <c r="B100" t="s">
        <v>262</v>
      </c>
      <c r="C100" s="321" t="s">
        <v>334</v>
      </c>
      <c r="D100" s="277">
        <f>944*52.2/12</f>
        <v>4106.4000000000005</v>
      </c>
    </row>
    <row r="101" spans="1:4" hidden="1">
      <c r="C101" s="322"/>
      <c r="D101" s="323"/>
    </row>
    <row r="102" spans="1:4" ht="14.4" hidden="1">
      <c r="A102" t="str">
        <f t="shared" si="0"/>
        <v>Adult-1,Dependents-1:0-21000</v>
      </c>
      <c r="B102" t="s">
        <v>263</v>
      </c>
      <c r="C102" s="321" t="s">
        <v>321</v>
      </c>
      <c r="D102" s="324">
        <f>354*52.2/12</f>
        <v>1539.8999999999999</v>
      </c>
    </row>
    <row r="103" spans="1:4" ht="14.4" hidden="1">
      <c r="A103" t="str">
        <f t="shared" si="0"/>
        <v>Adult-1,Dependents-1:21000-32000</v>
      </c>
      <c r="B103" t="s">
        <v>263</v>
      </c>
      <c r="C103" s="321" t="s">
        <v>322</v>
      </c>
      <c r="D103" s="319">
        <f>354*52.2/12</f>
        <v>1539.8999999999999</v>
      </c>
    </row>
    <row r="104" spans="1:4" ht="14.4" hidden="1">
      <c r="A104" t="str">
        <f t="shared" si="0"/>
        <v>Adult-1,Dependents-1:32001-43000</v>
      </c>
      <c r="B104" t="s">
        <v>263</v>
      </c>
      <c r="C104" s="321" t="s">
        <v>323</v>
      </c>
      <c r="D104" s="318">
        <f>369*52.2/12</f>
        <v>1605.1499999999999</v>
      </c>
    </row>
    <row r="105" spans="1:4" ht="14.4" hidden="1">
      <c r="A105" t="str">
        <f t="shared" si="0"/>
        <v>Adult-1,Dependents-1:43001-53000</v>
      </c>
      <c r="B105" t="s">
        <v>263</v>
      </c>
      <c r="C105" s="321" t="s">
        <v>324</v>
      </c>
      <c r="D105" s="319">
        <f>391*52.2/12</f>
        <v>1700.8500000000001</v>
      </c>
    </row>
    <row r="106" spans="1:4" ht="14.4" hidden="1">
      <c r="A106" t="str">
        <f t="shared" si="0"/>
        <v>Adult-1,Dependents-1:53001-64000</v>
      </c>
      <c r="B106" t="s">
        <v>263</v>
      </c>
      <c r="C106" s="321" t="s">
        <v>325</v>
      </c>
      <c r="D106" s="318">
        <f>428*52.2/12</f>
        <v>1861.8000000000002</v>
      </c>
    </row>
    <row r="107" spans="1:4" ht="14.4" hidden="1">
      <c r="A107" t="str">
        <f t="shared" si="0"/>
        <v>Adult-1,Dependents-1:64001-85000</v>
      </c>
      <c r="B107" t="s">
        <v>263</v>
      </c>
      <c r="C107" s="321" t="s">
        <v>326</v>
      </c>
      <c r="D107" s="319">
        <f>475*52.2/12</f>
        <v>2066.25</v>
      </c>
    </row>
    <row r="108" spans="1:4" ht="14.4" hidden="1">
      <c r="A108" t="str">
        <f t="shared" si="0"/>
        <v>Adult-1,Dependents-1:85001-107000</v>
      </c>
      <c r="B108" t="s">
        <v>263</v>
      </c>
      <c r="C108" s="321" t="s">
        <v>327</v>
      </c>
      <c r="D108" s="318">
        <f>549*52.2/12</f>
        <v>2388.15</v>
      </c>
    </row>
    <row r="109" spans="1:4" hidden="1">
      <c r="A109" t="str">
        <f t="shared" si="0"/>
        <v>Adult-1,Dependents-1:107001-128000</v>
      </c>
      <c r="B109" t="s">
        <v>263</v>
      </c>
      <c r="C109" s="321" t="s">
        <v>328</v>
      </c>
      <c r="D109" s="277">
        <f>603*52.2/12</f>
        <v>2623.05</v>
      </c>
    </row>
    <row r="110" spans="1:4" hidden="1">
      <c r="A110" t="str">
        <f t="shared" si="0"/>
        <v>Adult-1,Dependents-1:128001-150000</v>
      </c>
      <c r="B110" t="s">
        <v>263</v>
      </c>
      <c r="C110" s="321" t="s">
        <v>329</v>
      </c>
      <c r="D110" s="276">
        <f>693*52.2/12</f>
        <v>3014.5499999999997</v>
      </c>
    </row>
    <row r="111" spans="1:4" hidden="1">
      <c r="A111" t="str">
        <f t="shared" si="0"/>
        <v>Adult-1,Dependents-1:150001-171000</v>
      </c>
      <c r="B111" t="s">
        <v>263</v>
      </c>
      <c r="C111" s="321" t="s">
        <v>330</v>
      </c>
      <c r="D111" s="277">
        <f>727*52.2/12</f>
        <v>3162.4500000000003</v>
      </c>
    </row>
    <row r="112" spans="1:4" hidden="1">
      <c r="A112" t="str">
        <f t="shared" si="0"/>
        <v>Adult-1,Dependents-1:171001-214000</v>
      </c>
      <c r="B112" t="s">
        <v>263</v>
      </c>
      <c r="C112" s="321" t="s">
        <v>331</v>
      </c>
      <c r="D112" s="276">
        <f>766*52.2/12</f>
        <v>3332.1000000000004</v>
      </c>
    </row>
    <row r="113" spans="1:4" hidden="1">
      <c r="A113" t="str">
        <f t="shared" si="0"/>
        <v>Adult-1,Dependents-1:214001-267000</v>
      </c>
      <c r="B113" t="s">
        <v>263</v>
      </c>
      <c r="C113" s="321" t="s">
        <v>332</v>
      </c>
      <c r="D113" s="277">
        <f>871*52.2/12</f>
        <v>3788.8500000000004</v>
      </c>
    </row>
    <row r="114" spans="1:4" hidden="1">
      <c r="A114" t="str">
        <f t="shared" si="0"/>
        <v>Adult-1,Dependents-1:267001-321000</v>
      </c>
      <c r="B114" t="s">
        <v>263</v>
      </c>
      <c r="C114" s="321" t="s">
        <v>333</v>
      </c>
      <c r="D114" s="276">
        <f>1003*52.2/12</f>
        <v>4363.05</v>
      </c>
    </row>
    <row r="115" spans="1:4" hidden="1">
      <c r="A115" t="str">
        <f t="shared" si="0"/>
        <v>Adult-1,Dependents-1:321000+</v>
      </c>
      <c r="B115" t="s">
        <v>263</v>
      </c>
      <c r="C115" s="321" t="s">
        <v>334</v>
      </c>
      <c r="D115" s="277">
        <f>1034*52.2/12</f>
        <v>4497.9000000000005</v>
      </c>
    </row>
    <row r="116" spans="1:4" hidden="1">
      <c r="C116" s="322"/>
      <c r="D116" s="323"/>
    </row>
    <row r="117" spans="1:4" ht="14.4" hidden="1">
      <c r="A117" t="str">
        <f t="shared" ref="A117:A130" si="1">B117 &amp; ":" &amp; C117</f>
        <v>Adult-1,Dependents-2:0-21000</v>
      </c>
      <c r="B117" s="31" t="s">
        <v>264</v>
      </c>
      <c r="C117" s="321" t="s">
        <v>321</v>
      </c>
      <c r="D117" s="324">
        <f>445*52.2/12</f>
        <v>1935.75</v>
      </c>
    </row>
    <row r="118" spans="1:4" ht="14.4" hidden="1">
      <c r="A118" t="str">
        <f t="shared" si="1"/>
        <v>Adult-1,Dependents-2:21000-32000</v>
      </c>
      <c r="B118" s="31" t="s">
        <v>264</v>
      </c>
      <c r="C118" s="321" t="s">
        <v>322</v>
      </c>
      <c r="D118" s="319">
        <f>445*52.2/12</f>
        <v>1935.75</v>
      </c>
    </row>
    <row r="119" spans="1:4" ht="14.4" hidden="1">
      <c r="A119" t="str">
        <f t="shared" si="1"/>
        <v>Adult-1,Dependents-2:32001-43000</v>
      </c>
      <c r="B119" s="31" t="s">
        <v>264</v>
      </c>
      <c r="C119" s="321" t="s">
        <v>323</v>
      </c>
      <c r="D119" s="318">
        <f>460*52.2/12</f>
        <v>2001</v>
      </c>
    </row>
    <row r="120" spans="1:4" ht="14.4" hidden="1">
      <c r="A120" t="str">
        <f t="shared" si="1"/>
        <v>Adult-1,Dependents-2:43001-53000</v>
      </c>
      <c r="B120" s="31" t="s">
        <v>264</v>
      </c>
      <c r="C120" s="321" t="s">
        <v>324</v>
      </c>
      <c r="D120" s="319">
        <f>481*52.2/12</f>
        <v>2092.35</v>
      </c>
    </row>
    <row r="121" spans="1:4" ht="14.4" hidden="1">
      <c r="A121" t="str">
        <f t="shared" si="1"/>
        <v>Adult-1,Dependents-2:53001-64000</v>
      </c>
      <c r="B121" s="31" t="s">
        <v>264</v>
      </c>
      <c r="C121" s="321" t="s">
        <v>325</v>
      </c>
      <c r="D121" s="318">
        <f>519*52.2/12</f>
        <v>2257.65</v>
      </c>
    </row>
    <row r="122" spans="1:4" ht="14.4" hidden="1">
      <c r="A122" t="str">
        <f t="shared" si="1"/>
        <v>Adult-1,Dependents-2:64001-85000</v>
      </c>
      <c r="B122" s="31" t="s">
        <v>264</v>
      </c>
      <c r="C122" s="321" t="s">
        <v>326</v>
      </c>
      <c r="D122" s="319">
        <f>566*52.2/12</f>
        <v>2462.1</v>
      </c>
    </row>
    <row r="123" spans="1:4" ht="14.4" hidden="1">
      <c r="A123" t="str">
        <f t="shared" si="1"/>
        <v>Adult-1,Dependents-2:85001-107000</v>
      </c>
      <c r="B123" s="31" t="s">
        <v>264</v>
      </c>
      <c r="C123" s="321" t="s">
        <v>327</v>
      </c>
      <c r="D123" s="318">
        <f>640*52.2/12</f>
        <v>2784</v>
      </c>
    </row>
    <row r="124" spans="1:4" hidden="1">
      <c r="A124" t="str">
        <f t="shared" si="1"/>
        <v>Adult-1,Dependents-2:107001-128000</v>
      </c>
      <c r="B124" s="31" t="s">
        <v>264</v>
      </c>
      <c r="C124" s="321" t="s">
        <v>328</v>
      </c>
      <c r="D124" s="277">
        <f>693*52.2/12</f>
        <v>3014.5499999999997</v>
      </c>
    </row>
    <row r="125" spans="1:4" hidden="1">
      <c r="A125" t="str">
        <f t="shared" si="1"/>
        <v>Adult-1,Dependents-2:128001-150000</v>
      </c>
      <c r="B125" s="31" t="s">
        <v>264</v>
      </c>
      <c r="C125" s="321" t="s">
        <v>329</v>
      </c>
      <c r="D125" s="276">
        <f>784*52.2/12</f>
        <v>3410.4</v>
      </c>
    </row>
    <row r="126" spans="1:4" hidden="1">
      <c r="A126" t="str">
        <f t="shared" si="1"/>
        <v>Adult-1,Dependents-2:150001-171000</v>
      </c>
      <c r="B126" s="31" t="s">
        <v>264</v>
      </c>
      <c r="C126" s="321" t="s">
        <v>330</v>
      </c>
      <c r="D126" s="277">
        <f>818*52.2/12</f>
        <v>3558.3000000000006</v>
      </c>
    </row>
    <row r="127" spans="1:4" hidden="1">
      <c r="A127" t="str">
        <f t="shared" si="1"/>
        <v>Adult-1,Dependents-2:171001-214000</v>
      </c>
      <c r="B127" s="31" t="s">
        <v>264</v>
      </c>
      <c r="C127" s="321" t="s">
        <v>331</v>
      </c>
      <c r="D127" s="276">
        <f>857*52.2/12</f>
        <v>3727.9500000000003</v>
      </c>
    </row>
    <row r="128" spans="1:4" hidden="1">
      <c r="A128" t="str">
        <f t="shared" si="1"/>
        <v>Adult-1,Dependents-2:214001-267000</v>
      </c>
      <c r="B128" s="31" t="s">
        <v>264</v>
      </c>
      <c r="C128" s="321" t="s">
        <v>332</v>
      </c>
      <c r="D128" s="277">
        <f>962*52.2/12</f>
        <v>4184.7</v>
      </c>
    </row>
    <row r="129" spans="1:4" hidden="1">
      <c r="A129" t="str">
        <f t="shared" si="1"/>
        <v>Adult-1,Dependents-2:267001-321000</v>
      </c>
      <c r="B129" s="31" t="s">
        <v>264</v>
      </c>
      <c r="C129" s="321" t="s">
        <v>333</v>
      </c>
      <c r="D129" s="276">
        <f>1093*52.2/12</f>
        <v>4754.55</v>
      </c>
    </row>
    <row r="130" spans="1:4" hidden="1">
      <c r="A130" t="str">
        <f t="shared" si="1"/>
        <v>Adult-1,Dependents-2:321000+</v>
      </c>
      <c r="B130" s="31" t="s">
        <v>264</v>
      </c>
      <c r="C130" s="321" t="s">
        <v>334</v>
      </c>
      <c r="D130" s="277">
        <f>1125*52.2/12</f>
        <v>4893.75</v>
      </c>
    </row>
    <row r="131" spans="1:4" hidden="1">
      <c r="C131" s="322"/>
      <c r="D131" s="323"/>
    </row>
    <row r="132" spans="1:4" hidden="1">
      <c r="A132" t="str">
        <f t="shared" ref="A132:A145" si="2">B132 &amp; ":" &amp; C132</f>
        <v>Adult-1,Dependents-3:0-21000</v>
      </c>
      <c r="B132" s="31" t="s">
        <v>265</v>
      </c>
      <c r="C132" s="321" t="s">
        <v>321</v>
      </c>
      <c r="D132" s="325">
        <f>552*52.2/12</f>
        <v>2401.2000000000003</v>
      </c>
    </row>
    <row r="133" spans="1:4" hidden="1">
      <c r="A133" t="str">
        <f t="shared" si="2"/>
        <v>Adult-1,Dependents-3:21000-32000</v>
      </c>
      <c r="B133" s="31" t="s">
        <v>265</v>
      </c>
      <c r="C133" s="321" t="s">
        <v>322</v>
      </c>
      <c r="D133" s="325">
        <f>552*52.2/12</f>
        <v>2401.2000000000003</v>
      </c>
    </row>
    <row r="134" spans="1:4" hidden="1">
      <c r="A134" t="str">
        <f t="shared" si="2"/>
        <v>Adult-1,Dependents-3:32001-43000</v>
      </c>
      <c r="B134" s="31" t="s">
        <v>265</v>
      </c>
      <c r="C134" s="321" t="s">
        <v>323</v>
      </c>
      <c r="D134" s="276">
        <f>552*52.2/12</f>
        <v>2401.2000000000003</v>
      </c>
    </row>
    <row r="135" spans="1:4" hidden="1">
      <c r="A135" t="str">
        <f t="shared" si="2"/>
        <v>Adult-1,Dependents-3:43001-53000</v>
      </c>
      <c r="B135" s="31" t="s">
        <v>265</v>
      </c>
      <c r="C135" s="321" t="s">
        <v>324</v>
      </c>
      <c r="D135" s="277">
        <f>574*52.2/12</f>
        <v>2496.9</v>
      </c>
    </row>
    <row r="136" spans="1:4" hidden="1">
      <c r="A136" t="str">
        <f t="shared" si="2"/>
        <v>Adult-1,Dependents-3:53001-64000</v>
      </c>
      <c r="B136" s="31" t="s">
        <v>265</v>
      </c>
      <c r="C136" s="321" t="s">
        <v>325</v>
      </c>
      <c r="D136" s="276">
        <f>612*52.2/12</f>
        <v>2662.2000000000003</v>
      </c>
    </row>
    <row r="137" spans="1:4" hidden="1">
      <c r="A137" t="str">
        <f t="shared" si="2"/>
        <v>Adult-1,Dependents-3:64001-85000</v>
      </c>
      <c r="B137" s="31" t="s">
        <v>265</v>
      </c>
      <c r="C137" s="321" t="s">
        <v>326</v>
      </c>
      <c r="D137" s="277">
        <f>659*52.2/12</f>
        <v>2866.65</v>
      </c>
    </row>
    <row r="138" spans="1:4" hidden="1">
      <c r="A138" t="str">
        <f t="shared" si="2"/>
        <v>Adult-1,Dependents-3:85001-107000</v>
      </c>
      <c r="B138" s="31" t="s">
        <v>265</v>
      </c>
      <c r="C138" s="321" t="s">
        <v>327</v>
      </c>
      <c r="D138" s="276">
        <f>733*52.2/12</f>
        <v>3188.5499999999997</v>
      </c>
    </row>
    <row r="139" spans="1:4" hidden="1">
      <c r="A139" t="str">
        <f t="shared" si="2"/>
        <v>Adult-1,Dependents-3:107001-128000</v>
      </c>
      <c r="B139" s="31" t="s">
        <v>265</v>
      </c>
      <c r="C139" s="321" t="s">
        <v>328</v>
      </c>
      <c r="D139" s="277">
        <f>(787)*52.2/12</f>
        <v>3423.4500000000003</v>
      </c>
    </row>
    <row r="140" spans="1:4" hidden="1">
      <c r="A140" t="str">
        <f t="shared" si="2"/>
        <v>Adult-1,Dependents-3:128001-150000</v>
      </c>
      <c r="B140" s="31" t="s">
        <v>265</v>
      </c>
      <c r="C140" s="321" t="s">
        <v>329</v>
      </c>
      <c r="D140" s="276">
        <f>(878)*52.2/12</f>
        <v>3819.3000000000006</v>
      </c>
    </row>
    <row r="141" spans="1:4" hidden="1">
      <c r="A141" t="str">
        <f t="shared" si="2"/>
        <v>Adult-1,Dependents-3:150001-171000</v>
      </c>
      <c r="B141" s="31" t="s">
        <v>265</v>
      </c>
      <c r="C141" s="321" t="s">
        <v>330</v>
      </c>
      <c r="D141" s="277">
        <f>(912)*52.2/12</f>
        <v>3967.2000000000003</v>
      </c>
    </row>
    <row r="142" spans="1:4" hidden="1">
      <c r="A142" t="str">
        <f t="shared" si="2"/>
        <v>Adult-1,Dependents-3:171001-214000</v>
      </c>
      <c r="B142" s="31" t="s">
        <v>265</v>
      </c>
      <c r="C142" s="321" t="s">
        <v>331</v>
      </c>
      <c r="D142" s="276">
        <f>(951)*52.2/12</f>
        <v>4136.8500000000004</v>
      </c>
    </row>
    <row r="143" spans="1:4" hidden="1">
      <c r="A143" t="str">
        <f t="shared" si="2"/>
        <v>Adult-1,Dependents-3:214001-267000</v>
      </c>
      <c r="B143" s="31" t="s">
        <v>265</v>
      </c>
      <c r="C143" s="321" t="s">
        <v>332</v>
      </c>
      <c r="D143" s="277">
        <f>(1056)*52.2/12</f>
        <v>4593.6000000000004</v>
      </c>
    </row>
    <row r="144" spans="1:4" hidden="1">
      <c r="A144" t="str">
        <f t="shared" si="2"/>
        <v>Adult-1,Dependents-3:267001-321000</v>
      </c>
      <c r="B144" s="31" t="s">
        <v>265</v>
      </c>
      <c r="C144" s="321" t="s">
        <v>333</v>
      </c>
      <c r="D144" s="276">
        <f>(1188)*52.2/12</f>
        <v>5167.8</v>
      </c>
    </row>
    <row r="145" spans="1:4" hidden="1">
      <c r="A145" t="str">
        <f t="shared" si="2"/>
        <v>Adult-1,Dependents-3:321000+</v>
      </c>
      <c r="B145" s="31" t="s">
        <v>265</v>
      </c>
      <c r="C145" s="321" t="s">
        <v>334</v>
      </c>
      <c r="D145" s="277">
        <f>(1220)*52.2/12</f>
        <v>5307</v>
      </c>
    </row>
    <row r="146" spans="1:4" hidden="1">
      <c r="B146" s="31"/>
      <c r="C146" s="322"/>
      <c r="D146" s="323"/>
    </row>
    <row r="147" spans="1:4" hidden="1">
      <c r="C147" s="322"/>
      <c r="D147" s="323"/>
    </row>
    <row r="148" spans="1:4" hidden="1">
      <c r="A148" t="str">
        <f t="shared" ref="A148:A161" si="3">B148 &amp; ":" &amp; C148</f>
        <v>Adult-1,Dependents-4:0-21000</v>
      </c>
      <c r="B148" s="31" t="s">
        <v>266</v>
      </c>
      <c r="C148" s="321" t="s">
        <v>321</v>
      </c>
      <c r="D148" s="325">
        <f>(552+93)*52.2/12</f>
        <v>2805.75</v>
      </c>
    </row>
    <row r="149" spans="1:4" hidden="1">
      <c r="A149" t="str">
        <f t="shared" si="3"/>
        <v>Adult-1,Dependents-4:21000-32000</v>
      </c>
      <c r="B149" s="31" t="s">
        <v>266</v>
      </c>
      <c r="C149" s="321" t="s">
        <v>322</v>
      </c>
      <c r="D149" s="325">
        <f>(552+93)*52.2/12</f>
        <v>2805.75</v>
      </c>
    </row>
    <row r="150" spans="1:4" hidden="1">
      <c r="A150" t="str">
        <f t="shared" si="3"/>
        <v>Adult-1,Dependents-4:32001-43000</v>
      </c>
      <c r="B150" s="31" t="s">
        <v>266</v>
      </c>
      <c r="C150" s="321" t="s">
        <v>323</v>
      </c>
      <c r="D150" s="276">
        <f>(552+93)*52.2/12</f>
        <v>2805.75</v>
      </c>
    </row>
    <row r="151" spans="1:4" hidden="1">
      <c r="A151" t="str">
        <f t="shared" si="3"/>
        <v>Adult-1,Dependents-4:43001-53000</v>
      </c>
      <c r="B151" s="31" t="s">
        <v>266</v>
      </c>
      <c r="C151" s="321" t="s">
        <v>324</v>
      </c>
      <c r="D151" s="277">
        <f>(574+93)*52.2/12</f>
        <v>2901.4500000000003</v>
      </c>
    </row>
    <row r="152" spans="1:4" hidden="1">
      <c r="A152" t="str">
        <f t="shared" si="3"/>
        <v>Adult-1,Dependents-4:53001-64000</v>
      </c>
      <c r="B152" s="31" t="s">
        <v>266</v>
      </c>
      <c r="C152" s="321" t="s">
        <v>325</v>
      </c>
      <c r="D152" s="276">
        <f>(612+93)*52.2/12</f>
        <v>3066.75</v>
      </c>
    </row>
    <row r="153" spans="1:4" hidden="1">
      <c r="A153" t="str">
        <f t="shared" si="3"/>
        <v>Adult-1,Dependents-4:64001-85000</v>
      </c>
      <c r="B153" s="31" t="s">
        <v>266</v>
      </c>
      <c r="C153" s="321" t="s">
        <v>326</v>
      </c>
      <c r="D153" s="277">
        <f>(659+93)*52.2/12</f>
        <v>3271.2000000000003</v>
      </c>
    </row>
    <row r="154" spans="1:4" hidden="1">
      <c r="A154" t="str">
        <f t="shared" si="3"/>
        <v>Adult-1,Dependents-4:85001-107000</v>
      </c>
      <c r="B154" s="31" t="s">
        <v>266</v>
      </c>
      <c r="C154" s="321" t="s">
        <v>327</v>
      </c>
      <c r="D154" s="276">
        <f>(733+93)*52.2/12</f>
        <v>3593.1000000000004</v>
      </c>
    </row>
    <row r="155" spans="1:4" hidden="1">
      <c r="A155" t="str">
        <f t="shared" si="3"/>
        <v>Adult-1,Dependents-4:107001-128000</v>
      </c>
      <c r="B155" s="31" t="s">
        <v>266</v>
      </c>
      <c r="C155" s="321" t="s">
        <v>328</v>
      </c>
      <c r="D155" s="277">
        <f>(787+94)*52.2/12</f>
        <v>3832.3500000000004</v>
      </c>
    </row>
    <row r="156" spans="1:4" hidden="1">
      <c r="A156" t="str">
        <f t="shared" si="3"/>
        <v>Adult-1,Dependents-4:128001-150000</v>
      </c>
      <c r="B156" s="31" t="s">
        <v>266</v>
      </c>
      <c r="C156" s="321" t="s">
        <v>329</v>
      </c>
      <c r="D156" s="276">
        <f>(878+94)*52.2/12</f>
        <v>4228.2</v>
      </c>
    </row>
    <row r="157" spans="1:4" hidden="1">
      <c r="A157" t="str">
        <f t="shared" si="3"/>
        <v>Adult-1,Dependents-4:150001-171000</v>
      </c>
      <c r="B157" s="31" t="s">
        <v>266</v>
      </c>
      <c r="C157" s="321" t="s">
        <v>330</v>
      </c>
      <c r="D157" s="277">
        <f>(912+94)*52.2/12</f>
        <v>4376.1000000000004</v>
      </c>
    </row>
    <row r="158" spans="1:4" hidden="1">
      <c r="A158" t="str">
        <f t="shared" si="3"/>
        <v>Adult-1,Dependents-4:171001-214000</v>
      </c>
      <c r="B158" s="31" t="s">
        <v>266</v>
      </c>
      <c r="C158" s="321" t="s">
        <v>331</v>
      </c>
      <c r="D158" s="276">
        <f>(951+94)*52.2/12</f>
        <v>4545.75</v>
      </c>
    </row>
    <row r="159" spans="1:4" hidden="1">
      <c r="A159" t="str">
        <f t="shared" si="3"/>
        <v>Adult-1,Dependents-4:214001-267000</v>
      </c>
      <c r="B159" s="31" t="s">
        <v>266</v>
      </c>
      <c r="C159" s="321" t="s">
        <v>332</v>
      </c>
      <c r="D159" s="277">
        <f>(1056+95)*52.2/12</f>
        <v>5006.8500000000004</v>
      </c>
    </row>
    <row r="160" spans="1:4" hidden="1">
      <c r="A160" t="str">
        <f t="shared" si="3"/>
        <v>Adult-1,Dependents-4:267001-321000</v>
      </c>
      <c r="B160" s="31" t="s">
        <v>266</v>
      </c>
      <c r="C160" s="321" t="s">
        <v>333</v>
      </c>
      <c r="D160" s="276">
        <f>(1188+95)*52.2/12</f>
        <v>5581.05</v>
      </c>
    </row>
    <row r="161" spans="1:4" hidden="1">
      <c r="A161" t="str">
        <f t="shared" si="3"/>
        <v>Adult-1,Dependents-4:321000+</v>
      </c>
      <c r="B161" s="31" t="s">
        <v>266</v>
      </c>
      <c r="C161" s="321" t="s">
        <v>334</v>
      </c>
      <c r="D161" s="277">
        <f>(1220+95)*52.2/12</f>
        <v>5720.25</v>
      </c>
    </row>
    <row r="162" spans="1:4" hidden="1">
      <c r="B162" s="31"/>
      <c r="C162" s="322"/>
      <c r="D162" s="323"/>
    </row>
    <row r="163" spans="1:4" hidden="1">
      <c r="A163" t="str">
        <f t="shared" ref="A163:A176" si="4">B163 &amp; ":" &amp; C163</f>
        <v>Adult-1,Dependents-5:0-21000</v>
      </c>
      <c r="B163" s="31" t="s">
        <v>267</v>
      </c>
      <c r="C163" s="321" t="s">
        <v>321</v>
      </c>
      <c r="D163" s="325">
        <f>(612+93+93)*52.2/12</f>
        <v>3471.3000000000006</v>
      </c>
    </row>
    <row r="164" spans="1:4" hidden="1">
      <c r="A164" t="str">
        <f t="shared" si="4"/>
        <v>Adult-1,Dependents-5:21000-32000</v>
      </c>
      <c r="B164" s="31" t="s">
        <v>267</v>
      </c>
      <c r="C164" s="321" t="s">
        <v>322</v>
      </c>
      <c r="D164" s="325">
        <f>(612+93+93)*52.2/12</f>
        <v>3471.3000000000006</v>
      </c>
    </row>
    <row r="165" spans="1:4" hidden="1">
      <c r="A165" t="str">
        <f t="shared" si="4"/>
        <v>Adult-1,Dependents-5:32001-43000</v>
      </c>
      <c r="B165" s="31" t="s">
        <v>267</v>
      </c>
      <c r="C165" s="321" t="s">
        <v>323</v>
      </c>
      <c r="D165" s="325">
        <f>(612+93+93)*52.2/12</f>
        <v>3471.3000000000006</v>
      </c>
    </row>
    <row r="166" spans="1:4" hidden="1">
      <c r="A166" t="str">
        <f t="shared" si="4"/>
        <v>Adult-1,Dependents-5:43001-53000</v>
      </c>
      <c r="B166" s="31" t="s">
        <v>267</v>
      </c>
      <c r="C166" s="321" t="s">
        <v>324</v>
      </c>
      <c r="D166" s="325">
        <f>(612+93+93)*52.2/12</f>
        <v>3471.3000000000006</v>
      </c>
    </row>
    <row r="167" spans="1:4" hidden="1">
      <c r="A167" t="str">
        <f t="shared" si="4"/>
        <v>Adult-1,Dependents-5:53001-64000</v>
      </c>
      <c r="B167" s="31" t="s">
        <v>267</v>
      </c>
      <c r="C167" s="321" t="s">
        <v>325</v>
      </c>
      <c r="D167" s="276">
        <f>(612+93+93)*52.2/12</f>
        <v>3471.3000000000006</v>
      </c>
    </row>
    <row r="168" spans="1:4" hidden="1">
      <c r="A168" t="str">
        <f t="shared" si="4"/>
        <v>Adult-1,Dependents-5:64001-85000</v>
      </c>
      <c r="B168" s="31" t="s">
        <v>267</v>
      </c>
      <c r="C168" s="321" t="s">
        <v>326</v>
      </c>
      <c r="D168" s="277">
        <f>(659+93+93)*52.2/12</f>
        <v>3675.75</v>
      </c>
    </row>
    <row r="169" spans="1:4" hidden="1">
      <c r="A169" t="str">
        <f t="shared" si="4"/>
        <v>Adult-1,Dependents-5:85001-107000</v>
      </c>
      <c r="B169" s="31" t="s">
        <v>267</v>
      </c>
      <c r="C169" s="321" t="s">
        <v>327</v>
      </c>
      <c r="D169" s="276">
        <f>(733+93+93)*52.2/12</f>
        <v>3997.65</v>
      </c>
    </row>
    <row r="170" spans="1:4" hidden="1">
      <c r="A170" t="str">
        <f t="shared" si="4"/>
        <v>Adult-1,Dependents-5:107001-128000</v>
      </c>
      <c r="B170" s="31" t="s">
        <v>267</v>
      </c>
      <c r="C170" s="321" t="s">
        <v>328</v>
      </c>
      <c r="D170" s="277">
        <f>(787+94+94)*52.2/12</f>
        <v>4241.25</v>
      </c>
    </row>
    <row r="171" spans="1:4" hidden="1">
      <c r="A171" t="str">
        <f t="shared" si="4"/>
        <v>Adult-1,Dependents-5:128001-150000</v>
      </c>
      <c r="B171" s="31" t="s">
        <v>267</v>
      </c>
      <c r="C171" s="321" t="s">
        <v>329</v>
      </c>
      <c r="D171" s="276">
        <f>(878+94+94)*52.2/12</f>
        <v>4637.1000000000004</v>
      </c>
    </row>
    <row r="172" spans="1:4" hidden="1">
      <c r="A172" t="str">
        <f t="shared" si="4"/>
        <v>Adult-1,Dependents-5:150001-171000</v>
      </c>
      <c r="B172" s="31" t="s">
        <v>267</v>
      </c>
      <c r="C172" s="321" t="s">
        <v>330</v>
      </c>
      <c r="D172" s="277">
        <f>(912+94+94)*52.2/12</f>
        <v>4785</v>
      </c>
    </row>
    <row r="173" spans="1:4" hidden="1">
      <c r="A173" t="str">
        <f t="shared" si="4"/>
        <v>Adult-1,Dependents-5:171001-214000</v>
      </c>
      <c r="B173" s="31" t="s">
        <v>267</v>
      </c>
      <c r="C173" s="321" t="s">
        <v>331</v>
      </c>
      <c r="D173" s="276">
        <f>(951+94+94)*52.2/12</f>
        <v>4954.6500000000005</v>
      </c>
    </row>
    <row r="174" spans="1:4" hidden="1">
      <c r="A174" t="str">
        <f t="shared" si="4"/>
        <v>Adult-1,Dependents-5:214001-267000</v>
      </c>
      <c r="B174" s="31" t="s">
        <v>267</v>
      </c>
      <c r="C174" s="321" t="s">
        <v>332</v>
      </c>
      <c r="D174" s="277">
        <f>(1056+95+95)*52.2/12</f>
        <v>5420.1</v>
      </c>
    </row>
    <row r="175" spans="1:4" hidden="1">
      <c r="A175" t="str">
        <f t="shared" si="4"/>
        <v>Adult-1,Dependents-5:267001-321000</v>
      </c>
      <c r="B175" s="31" t="s">
        <v>267</v>
      </c>
      <c r="C175" s="321" t="s">
        <v>333</v>
      </c>
      <c r="D175" s="276">
        <f>(1188+95+95)*52.2/12</f>
        <v>5994.3</v>
      </c>
    </row>
    <row r="176" spans="1:4" hidden="1">
      <c r="A176" t="str">
        <f t="shared" si="4"/>
        <v>Adult-1,Dependents-5:321000+</v>
      </c>
      <c r="B176" s="31" t="s">
        <v>267</v>
      </c>
      <c r="C176" s="321" t="s">
        <v>334</v>
      </c>
      <c r="D176" s="277">
        <f>(1220+95+95)*52.2/12</f>
        <v>6133.5</v>
      </c>
    </row>
    <row r="177" spans="1:4" hidden="1">
      <c r="B177" s="31"/>
      <c r="C177" s="322"/>
      <c r="D177" s="323"/>
    </row>
    <row r="178" spans="1:4" hidden="1">
      <c r="A178" t="str">
        <f t="shared" ref="A178:A191" si="5">B178 &amp; ":" &amp; C178</f>
        <v>Adult-1,Dependents-6:0-21000</v>
      </c>
      <c r="B178" s="31" t="s">
        <v>268</v>
      </c>
      <c r="C178" s="321" t="s">
        <v>321</v>
      </c>
      <c r="D178" s="326">
        <f t="shared" ref="D178:D183" si="6">(659+93+93)*52.2/12</f>
        <v>3675.75</v>
      </c>
    </row>
    <row r="179" spans="1:4" hidden="1">
      <c r="A179" t="str">
        <f t="shared" si="5"/>
        <v>Adult-1,Dependents-6:21000-32000</v>
      </c>
      <c r="B179" s="31" t="s">
        <v>268</v>
      </c>
      <c r="C179" s="321" t="s">
        <v>322</v>
      </c>
      <c r="D179" s="326">
        <f t="shared" si="6"/>
        <v>3675.75</v>
      </c>
    </row>
    <row r="180" spans="1:4" hidden="1">
      <c r="A180" t="str">
        <f t="shared" si="5"/>
        <v>Adult-1,Dependents-6:32001-43000</v>
      </c>
      <c r="B180" s="31" t="s">
        <v>268</v>
      </c>
      <c r="C180" s="321" t="s">
        <v>323</v>
      </c>
      <c r="D180" s="326">
        <f t="shared" si="6"/>
        <v>3675.75</v>
      </c>
    </row>
    <row r="181" spans="1:4" hidden="1">
      <c r="A181" t="str">
        <f t="shared" si="5"/>
        <v>Adult-1,Dependents-6:43001-53000</v>
      </c>
      <c r="B181" s="31" t="s">
        <v>268</v>
      </c>
      <c r="C181" s="321" t="s">
        <v>324</v>
      </c>
      <c r="D181" s="326">
        <f t="shared" si="6"/>
        <v>3675.75</v>
      </c>
    </row>
    <row r="182" spans="1:4" hidden="1">
      <c r="A182" t="str">
        <f t="shared" si="5"/>
        <v>Adult-1,Dependents-6:53001-64000</v>
      </c>
      <c r="B182" s="31" t="s">
        <v>268</v>
      </c>
      <c r="C182" s="321" t="s">
        <v>325</v>
      </c>
      <c r="D182" s="326">
        <f t="shared" si="6"/>
        <v>3675.75</v>
      </c>
    </row>
    <row r="183" spans="1:4" hidden="1">
      <c r="A183" t="str">
        <f t="shared" si="5"/>
        <v>Adult-1,Dependents-6:64001-85000</v>
      </c>
      <c r="B183" s="31" t="s">
        <v>268</v>
      </c>
      <c r="C183" s="321" t="s">
        <v>326</v>
      </c>
      <c r="D183" s="277">
        <f t="shared" si="6"/>
        <v>3675.75</v>
      </c>
    </row>
    <row r="184" spans="1:4" hidden="1">
      <c r="A184" t="str">
        <f t="shared" si="5"/>
        <v>Adult-1,Dependents-6:85001-107000</v>
      </c>
      <c r="B184" s="31" t="s">
        <v>268</v>
      </c>
      <c r="C184" s="321" t="s">
        <v>327</v>
      </c>
      <c r="D184" s="276">
        <f>(733+93+93+93)*52.2/12</f>
        <v>4402.2</v>
      </c>
    </row>
    <row r="185" spans="1:4" hidden="1">
      <c r="A185" t="str">
        <f t="shared" si="5"/>
        <v>Adult-1,Dependents-6:107001-128000</v>
      </c>
      <c r="B185" s="31" t="s">
        <v>268</v>
      </c>
      <c r="C185" s="321" t="s">
        <v>328</v>
      </c>
      <c r="D185" s="277">
        <f>(787+94+94+94)*52.2/12</f>
        <v>4650.1500000000005</v>
      </c>
    </row>
    <row r="186" spans="1:4" hidden="1">
      <c r="A186" t="str">
        <f t="shared" si="5"/>
        <v>Adult-1,Dependents-6:128001-150000</v>
      </c>
      <c r="B186" s="31" t="s">
        <v>268</v>
      </c>
      <c r="C186" s="321" t="s">
        <v>329</v>
      </c>
      <c r="D186" s="276">
        <f>(878+94+94+94)*52.2/12</f>
        <v>5046</v>
      </c>
    </row>
    <row r="187" spans="1:4" hidden="1">
      <c r="A187" t="str">
        <f t="shared" si="5"/>
        <v>Adult-1,Dependents-6:150001-171000</v>
      </c>
      <c r="B187" s="31" t="s">
        <v>268</v>
      </c>
      <c r="C187" s="321" t="s">
        <v>330</v>
      </c>
      <c r="D187" s="277">
        <f>(912+94+94+94)*52.2/12</f>
        <v>5193.9000000000005</v>
      </c>
    </row>
    <row r="188" spans="1:4" hidden="1">
      <c r="A188" t="str">
        <f t="shared" si="5"/>
        <v>Adult-1,Dependents-6:171001-214000</v>
      </c>
      <c r="B188" s="31" t="s">
        <v>268</v>
      </c>
      <c r="C188" s="321" t="s">
        <v>331</v>
      </c>
      <c r="D188" s="276">
        <f>(951+94+94+94)*52.2/12</f>
        <v>5363.55</v>
      </c>
    </row>
    <row r="189" spans="1:4" hidden="1">
      <c r="A189" t="str">
        <f t="shared" si="5"/>
        <v>Adult-1,Dependents-6:214001-267000</v>
      </c>
      <c r="B189" s="31" t="s">
        <v>268</v>
      </c>
      <c r="C189" s="321" t="s">
        <v>332</v>
      </c>
      <c r="D189" s="277">
        <f>(1056+95+95+95)*52.2/12</f>
        <v>5833.3499999999995</v>
      </c>
    </row>
    <row r="190" spans="1:4" hidden="1">
      <c r="A190" t="str">
        <f t="shared" si="5"/>
        <v>Adult-1,Dependents-6:267001-321000</v>
      </c>
      <c r="B190" s="31" t="s">
        <v>268</v>
      </c>
      <c r="C190" s="321" t="s">
        <v>333</v>
      </c>
      <c r="D190" s="276">
        <f>(1188+95+95+95)*52.2/12</f>
        <v>6407.55</v>
      </c>
    </row>
    <row r="191" spans="1:4" hidden="1">
      <c r="A191" t="str">
        <f t="shared" si="5"/>
        <v>Adult-1,Dependents-6:321000+</v>
      </c>
      <c r="B191" s="31" t="s">
        <v>268</v>
      </c>
      <c r="C191" s="321" t="s">
        <v>334</v>
      </c>
      <c r="D191" s="277">
        <f>(1220+95+95+95)*52.2/12</f>
        <v>6546.75</v>
      </c>
    </row>
    <row r="192" spans="1:4" hidden="1">
      <c r="B192" s="31"/>
      <c r="C192" s="322"/>
      <c r="D192" s="323"/>
    </row>
    <row r="193" spans="1:4" ht="14.4" hidden="1">
      <c r="A193" t="str">
        <f>B193 &amp; ":" &amp; C193</f>
        <v>Adult-2,Dependents-0:0-21000</v>
      </c>
      <c r="B193" s="31" t="s">
        <v>269</v>
      </c>
      <c r="C193" s="321" t="s">
        <v>321</v>
      </c>
      <c r="D193" s="324">
        <f>487*52.2/12</f>
        <v>2118.4500000000003</v>
      </c>
    </row>
    <row r="194" spans="1:4" ht="14.4" hidden="1">
      <c r="A194" t="str">
        <f t="shared" ref="A194:A206" si="7">B194 &amp; ":" &amp; C194</f>
        <v>Adult-2,Dependents-0:21000-32000</v>
      </c>
      <c r="B194" s="31" t="s">
        <v>269</v>
      </c>
      <c r="C194" s="321" t="s">
        <v>322</v>
      </c>
      <c r="D194" s="319">
        <f>487*52.2/12</f>
        <v>2118.4500000000003</v>
      </c>
    </row>
    <row r="195" spans="1:4" ht="14.4" hidden="1">
      <c r="A195" t="str">
        <f t="shared" si="7"/>
        <v>Adult-2,Dependents-0:32001-43000</v>
      </c>
      <c r="B195" s="31" t="s">
        <v>269</v>
      </c>
      <c r="C195" s="321" t="s">
        <v>323</v>
      </c>
      <c r="D195" s="318">
        <f>502*52.2/12</f>
        <v>2183.7000000000003</v>
      </c>
    </row>
    <row r="196" spans="1:4" ht="14.4" hidden="1">
      <c r="A196" t="str">
        <f t="shared" si="7"/>
        <v>Adult-2,Dependents-0:43001-53000</v>
      </c>
      <c r="B196" s="31" t="s">
        <v>269</v>
      </c>
      <c r="C196" s="321" t="s">
        <v>324</v>
      </c>
      <c r="D196" s="319">
        <f>523*52.2/12</f>
        <v>2275.0500000000002</v>
      </c>
    </row>
    <row r="197" spans="1:4" ht="14.4" hidden="1">
      <c r="A197" t="str">
        <f t="shared" si="7"/>
        <v>Adult-2,Dependents-0:53001-64000</v>
      </c>
      <c r="B197" s="31" t="s">
        <v>269</v>
      </c>
      <c r="C197" s="321" t="s">
        <v>325</v>
      </c>
      <c r="D197" s="318">
        <f>561*52.2/12</f>
        <v>2440.35</v>
      </c>
    </row>
    <row r="198" spans="1:4" ht="14.4" hidden="1">
      <c r="A198" t="str">
        <f t="shared" si="7"/>
        <v>Adult-2,Dependents-0:64001-85000</v>
      </c>
      <c r="B198" s="31" t="s">
        <v>269</v>
      </c>
      <c r="C198" s="321" t="s">
        <v>326</v>
      </c>
      <c r="D198" s="319">
        <f>608*52.2/12</f>
        <v>2644.8</v>
      </c>
    </row>
    <row r="199" spans="1:4" ht="14.4" hidden="1">
      <c r="A199" t="str">
        <f t="shared" si="7"/>
        <v>Adult-2,Dependents-0:85001-107000</v>
      </c>
      <c r="B199" s="31" t="s">
        <v>269</v>
      </c>
      <c r="C199" s="321" t="s">
        <v>327</v>
      </c>
      <c r="D199" s="318">
        <f>682*52.2/12</f>
        <v>2966.7000000000003</v>
      </c>
    </row>
    <row r="200" spans="1:4" hidden="1">
      <c r="A200" t="str">
        <f t="shared" si="7"/>
        <v>Adult-2,Dependents-0:107001-128000</v>
      </c>
      <c r="B200" s="31" t="s">
        <v>269</v>
      </c>
      <c r="C200" s="321" t="s">
        <v>328</v>
      </c>
      <c r="D200" s="277">
        <f>735*52.2/12</f>
        <v>3197.25</v>
      </c>
    </row>
    <row r="201" spans="1:4" hidden="1">
      <c r="A201" t="str">
        <f t="shared" si="7"/>
        <v>Adult-2,Dependents-0:128001-150000</v>
      </c>
      <c r="B201" s="31" t="s">
        <v>269</v>
      </c>
      <c r="C201" s="321" t="s">
        <v>329</v>
      </c>
      <c r="D201" s="276">
        <f>826*52.2/12</f>
        <v>3593.1000000000004</v>
      </c>
    </row>
    <row r="202" spans="1:4" hidden="1">
      <c r="A202" t="str">
        <f t="shared" si="7"/>
        <v>Adult-2,Dependents-0:150001-171000</v>
      </c>
      <c r="B202" s="31" t="s">
        <v>269</v>
      </c>
      <c r="C202" s="321" t="s">
        <v>330</v>
      </c>
      <c r="D202" s="277">
        <f>860*52.2/12</f>
        <v>3741</v>
      </c>
    </row>
    <row r="203" spans="1:4" hidden="1">
      <c r="A203" t="str">
        <f t="shared" si="7"/>
        <v>Adult-2,Dependents-0:171001-214000</v>
      </c>
      <c r="B203" s="31" t="s">
        <v>269</v>
      </c>
      <c r="C203" s="321" t="s">
        <v>331</v>
      </c>
      <c r="D203" s="276">
        <f>899*52.2/12</f>
        <v>3910.65</v>
      </c>
    </row>
    <row r="204" spans="1:4" hidden="1">
      <c r="A204" t="str">
        <f t="shared" si="7"/>
        <v>Adult-2,Dependents-0:214001-267000</v>
      </c>
      <c r="B204" s="31" t="s">
        <v>269</v>
      </c>
      <c r="C204" s="321" t="s">
        <v>332</v>
      </c>
      <c r="D204" s="277">
        <f>1004*52.2/12</f>
        <v>4367.4000000000005</v>
      </c>
    </row>
    <row r="205" spans="1:4" hidden="1">
      <c r="A205" t="str">
        <f t="shared" si="7"/>
        <v>Adult-2,Dependents-0:267001-321000</v>
      </c>
      <c r="B205" s="31" t="s">
        <v>269</v>
      </c>
      <c r="C205" s="321" t="s">
        <v>333</v>
      </c>
      <c r="D205" s="276">
        <f>1135*52.2/12</f>
        <v>4937.25</v>
      </c>
    </row>
    <row r="206" spans="1:4" hidden="1">
      <c r="A206" t="str">
        <f t="shared" si="7"/>
        <v>Adult-2,Dependents-0:321000+</v>
      </c>
      <c r="B206" s="31" t="s">
        <v>269</v>
      </c>
      <c r="C206" s="321" t="s">
        <v>334</v>
      </c>
      <c r="D206" s="277">
        <f>1167*52.2/12</f>
        <v>5076.45</v>
      </c>
    </row>
    <row r="207" spans="1:4" hidden="1">
      <c r="C207" s="322"/>
      <c r="D207" s="323"/>
    </row>
    <row r="208" spans="1:4" ht="14.4" hidden="1">
      <c r="A208" t="str">
        <f t="shared" ref="A208:A221" si="8">B208 &amp; ":" &amp; C208</f>
        <v>Adult-2,Dependents-1:0-21000</v>
      </c>
      <c r="B208" s="31" t="s">
        <v>270</v>
      </c>
      <c r="C208" s="321" t="s">
        <v>321</v>
      </c>
      <c r="D208" s="327">
        <f>578*52.2/12</f>
        <v>2514.3000000000002</v>
      </c>
    </row>
    <row r="209" spans="1:4" ht="14.4" hidden="1">
      <c r="A209" t="str">
        <f t="shared" si="8"/>
        <v>Adult-2,Dependents-1:21000-32000</v>
      </c>
      <c r="B209" s="31" t="s">
        <v>270</v>
      </c>
      <c r="C209" s="321" t="s">
        <v>322</v>
      </c>
      <c r="D209" s="327">
        <f>578*52.2/12</f>
        <v>2514.3000000000002</v>
      </c>
    </row>
    <row r="210" spans="1:4" ht="14.4" hidden="1">
      <c r="A210" t="str">
        <f t="shared" si="8"/>
        <v>Adult-2,Dependents-1:32001-43000</v>
      </c>
      <c r="B210" s="31" t="s">
        <v>270</v>
      </c>
      <c r="C210" s="321" t="s">
        <v>323</v>
      </c>
      <c r="D210" s="318">
        <f>578*52.2/12</f>
        <v>2514.3000000000002</v>
      </c>
    </row>
    <row r="211" spans="1:4" ht="14.4" hidden="1">
      <c r="A211" t="str">
        <f t="shared" si="8"/>
        <v>Adult-2,Dependents-1:43001-53000</v>
      </c>
      <c r="B211" s="31" t="s">
        <v>270</v>
      </c>
      <c r="C211" s="321" t="s">
        <v>324</v>
      </c>
      <c r="D211" s="319">
        <f>599*52.2/12</f>
        <v>2605.65</v>
      </c>
    </row>
    <row r="212" spans="1:4" ht="14.4" hidden="1">
      <c r="A212" t="str">
        <f t="shared" si="8"/>
        <v>Adult-2,Dependents-1:53001-64000</v>
      </c>
      <c r="B212" s="31" t="s">
        <v>270</v>
      </c>
      <c r="C212" s="321" t="s">
        <v>325</v>
      </c>
      <c r="D212" s="318">
        <f>637*52.2/12</f>
        <v>2770.9500000000003</v>
      </c>
    </row>
    <row r="213" spans="1:4" ht="14.4" hidden="1">
      <c r="A213" t="str">
        <f t="shared" si="8"/>
        <v>Adult-2,Dependents-1:64001-85000</v>
      </c>
      <c r="B213" s="31" t="s">
        <v>270</v>
      </c>
      <c r="C213" s="321" t="s">
        <v>326</v>
      </c>
      <c r="D213" s="319">
        <f>684*52.2/12</f>
        <v>2975.4</v>
      </c>
    </row>
    <row r="214" spans="1:4" ht="14.4" hidden="1">
      <c r="A214" t="str">
        <f t="shared" si="8"/>
        <v>Adult-2,Dependents-1:85001-107000</v>
      </c>
      <c r="B214" s="31" t="s">
        <v>270</v>
      </c>
      <c r="C214" s="321" t="s">
        <v>327</v>
      </c>
      <c r="D214" s="318">
        <f>757*52.2/12</f>
        <v>3292.9500000000003</v>
      </c>
    </row>
    <row r="215" spans="1:4" hidden="1">
      <c r="A215" t="str">
        <f t="shared" si="8"/>
        <v>Adult-2,Dependents-1:107001-128000</v>
      </c>
      <c r="B215" s="31" t="s">
        <v>270</v>
      </c>
      <c r="C215" s="321" t="s">
        <v>328</v>
      </c>
      <c r="D215" s="277">
        <f>811*52.2/12</f>
        <v>3527.8500000000004</v>
      </c>
    </row>
    <row r="216" spans="1:4" hidden="1">
      <c r="A216" t="str">
        <f t="shared" si="8"/>
        <v>Adult-2,Dependents-1:128001-150000</v>
      </c>
      <c r="B216" s="31" t="s">
        <v>270</v>
      </c>
      <c r="C216" s="321" t="s">
        <v>329</v>
      </c>
      <c r="D216" s="276">
        <f>901*52.2/12</f>
        <v>3919.3500000000004</v>
      </c>
    </row>
    <row r="217" spans="1:4" hidden="1">
      <c r="A217" t="str">
        <f t="shared" si="8"/>
        <v>Adult-2,Dependents-1:150001-171000</v>
      </c>
      <c r="B217" s="31" t="s">
        <v>270</v>
      </c>
      <c r="C217" s="321" t="s">
        <v>330</v>
      </c>
      <c r="D217" s="277">
        <f>935*52.2/12</f>
        <v>4067.25</v>
      </c>
    </row>
    <row r="218" spans="1:4" hidden="1">
      <c r="A218" t="str">
        <f t="shared" si="8"/>
        <v>Adult-2,Dependents-1:171001-214000</v>
      </c>
      <c r="B218" s="31" t="s">
        <v>270</v>
      </c>
      <c r="C218" s="321" t="s">
        <v>331</v>
      </c>
      <c r="D218" s="276">
        <f>974*52.2/12</f>
        <v>4236.9000000000005</v>
      </c>
    </row>
    <row r="219" spans="1:4" hidden="1">
      <c r="A219" t="str">
        <f t="shared" si="8"/>
        <v>Adult-2,Dependents-1:214001-267000</v>
      </c>
      <c r="B219" s="31" t="s">
        <v>270</v>
      </c>
      <c r="C219" s="321" t="s">
        <v>332</v>
      </c>
      <c r="D219" s="277">
        <f>1079*52.2/12</f>
        <v>4693.6500000000005</v>
      </c>
    </row>
    <row r="220" spans="1:4" hidden="1">
      <c r="A220" t="str">
        <f t="shared" si="8"/>
        <v>Adult-2,Dependents-1:267001-321000</v>
      </c>
      <c r="B220" s="31" t="s">
        <v>270</v>
      </c>
      <c r="C220" s="321" t="s">
        <v>333</v>
      </c>
      <c r="D220" s="276">
        <f>1210*52.2/12</f>
        <v>5263.5</v>
      </c>
    </row>
    <row r="221" spans="1:4" hidden="1">
      <c r="A221" t="str">
        <f t="shared" si="8"/>
        <v>Adult-2,Dependents-1:321000+</v>
      </c>
      <c r="B221" s="31" t="s">
        <v>270</v>
      </c>
      <c r="C221" s="321" t="s">
        <v>334</v>
      </c>
      <c r="D221" s="277">
        <f>1241*52.2/12</f>
        <v>5398.35</v>
      </c>
    </row>
    <row r="222" spans="1:4" hidden="1">
      <c r="C222" s="322"/>
      <c r="D222" s="323"/>
    </row>
    <row r="223" spans="1:4" ht="14.4" hidden="1">
      <c r="A223" t="str">
        <f t="shared" ref="A223:A236" si="9">B223 &amp; ":" &amp; C223</f>
        <v>Adult-2,Dependents-2:0-21000</v>
      </c>
      <c r="B223" s="31" t="s">
        <v>271</v>
      </c>
      <c r="C223" s="321" t="s">
        <v>321</v>
      </c>
      <c r="D223" s="327">
        <f>636*52.2/12</f>
        <v>2766.6000000000004</v>
      </c>
    </row>
    <row r="224" spans="1:4" ht="14.4" hidden="1">
      <c r="A224" t="str">
        <f t="shared" si="9"/>
        <v>Adult-2,Dependents-2:21000-32000</v>
      </c>
      <c r="B224" s="31" t="s">
        <v>271</v>
      </c>
      <c r="C224" s="321" t="s">
        <v>322</v>
      </c>
      <c r="D224" s="327">
        <f>636*52.2/12</f>
        <v>2766.6000000000004</v>
      </c>
    </row>
    <row r="225" spans="1:4" ht="14.4" hidden="1">
      <c r="A225" t="str">
        <f t="shared" si="9"/>
        <v>Adult-2,Dependents-2:32001-43000</v>
      </c>
      <c r="B225" s="31" t="s">
        <v>271</v>
      </c>
      <c r="C225" s="321" t="s">
        <v>323</v>
      </c>
      <c r="D225" s="318">
        <f>636*52.2/12</f>
        <v>2766.6000000000004</v>
      </c>
    </row>
    <row r="226" spans="1:4" ht="14.4" hidden="1">
      <c r="A226" t="str">
        <f t="shared" si="9"/>
        <v>Adult-2,Dependents-2:43001-53000</v>
      </c>
      <c r="B226" s="31" t="s">
        <v>271</v>
      </c>
      <c r="C226" s="321" t="s">
        <v>324</v>
      </c>
      <c r="D226" s="319">
        <f>657*52.2/12</f>
        <v>2857.9500000000003</v>
      </c>
    </row>
    <row r="227" spans="1:4" ht="14.4" hidden="1">
      <c r="A227" t="str">
        <f t="shared" si="9"/>
        <v>Adult-2,Dependents-2:53001-64000</v>
      </c>
      <c r="B227" s="31" t="s">
        <v>271</v>
      </c>
      <c r="C227" s="321" t="s">
        <v>325</v>
      </c>
      <c r="D227" s="318">
        <f>694*52.2/12</f>
        <v>3018.9</v>
      </c>
    </row>
    <row r="228" spans="1:4" ht="14.4" hidden="1">
      <c r="A228" t="str">
        <f t="shared" si="9"/>
        <v>Adult-2,Dependents-2:64001-85000</v>
      </c>
      <c r="B228" s="31" t="s">
        <v>271</v>
      </c>
      <c r="C228" s="321" t="s">
        <v>326</v>
      </c>
      <c r="D228" s="319">
        <f>741*52.2/12</f>
        <v>3223.3500000000004</v>
      </c>
    </row>
    <row r="229" spans="1:4" ht="14.4" hidden="1">
      <c r="A229" t="str">
        <f t="shared" si="9"/>
        <v>Adult-2,Dependents-2:85001-107000</v>
      </c>
      <c r="B229" s="31" t="s">
        <v>271</v>
      </c>
      <c r="C229" s="321" t="s">
        <v>327</v>
      </c>
      <c r="D229" s="318">
        <f>815*52.2/12</f>
        <v>3545.25</v>
      </c>
    </row>
    <row r="230" spans="1:4" hidden="1">
      <c r="A230" t="str">
        <f t="shared" si="9"/>
        <v>Adult-2,Dependents-2:107001-128000</v>
      </c>
      <c r="B230" s="31" t="s">
        <v>271</v>
      </c>
      <c r="C230" s="321" t="s">
        <v>328</v>
      </c>
      <c r="D230" s="277">
        <f>868*52.2/12</f>
        <v>3775.8000000000006</v>
      </c>
    </row>
    <row r="231" spans="1:4" hidden="1">
      <c r="A231" t="str">
        <f t="shared" si="9"/>
        <v>Adult-2,Dependents-2:128001-150000</v>
      </c>
      <c r="B231" s="31" t="s">
        <v>271</v>
      </c>
      <c r="C231" s="321" t="s">
        <v>329</v>
      </c>
      <c r="D231" s="276">
        <f>959*52.2/12</f>
        <v>4171.6500000000005</v>
      </c>
    </row>
    <row r="232" spans="1:4" hidden="1">
      <c r="A232" t="str">
        <f t="shared" si="9"/>
        <v>Adult-2,Dependents-2:150001-171000</v>
      </c>
      <c r="B232" s="31" t="s">
        <v>271</v>
      </c>
      <c r="C232" s="321" t="s">
        <v>330</v>
      </c>
      <c r="D232" s="277">
        <f>993*52.2/12</f>
        <v>4319.55</v>
      </c>
    </row>
    <row r="233" spans="1:4" hidden="1">
      <c r="A233" t="str">
        <f t="shared" si="9"/>
        <v>Adult-2,Dependents-2:171001-214000</v>
      </c>
      <c r="B233" s="31" t="s">
        <v>271</v>
      </c>
      <c r="C233" s="321" t="s">
        <v>331</v>
      </c>
      <c r="D233" s="276">
        <f>1032*52.2/12</f>
        <v>4489.2</v>
      </c>
    </row>
    <row r="234" spans="1:4" hidden="1">
      <c r="A234" t="str">
        <f t="shared" si="9"/>
        <v>Adult-2,Dependents-2:214001-267000</v>
      </c>
      <c r="B234" s="31" t="s">
        <v>271</v>
      </c>
      <c r="C234" s="321" t="s">
        <v>332</v>
      </c>
      <c r="D234" s="277">
        <f>1136*52.2/12</f>
        <v>4941.6000000000004</v>
      </c>
    </row>
    <row r="235" spans="1:4" hidden="1">
      <c r="A235" t="str">
        <f t="shared" si="9"/>
        <v>Adult-2,Dependents-2:267001-321000</v>
      </c>
      <c r="B235" s="31" t="s">
        <v>271</v>
      </c>
      <c r="C235" s="321" t="s">
        <v>333</v>
      </c>
      <c r="D235" s="276">
        <f>1268*52.2/12</f>
        <v>5515.8</v>
      </c>
    </row>
    <row r="236" spans="1:4" hidden="1">
      <c r="A236" t="str">
        <f t="shared" si="9"/>
        <v>Adult-2,Dependents-2:321000+</v>
      </c>
      <c r="B236" s="31" t="s">
        <v>271</v>
      </c>
      <c r="C236" s="321" t="s">
        <v>334</v>
      </c>
      <c r="D236" s="277">
        <f>1299*52.2/12</f>
        <v>5650.6500000000005</v>
      </c>
    </row>
    <row r="237" spans="1:4" hidden="1">
      <c r="C237" s="322"/>
      <c r="D237" s="323"/>
    </row>
    <row r="238" spans="1:4" ht="14.4" hidden="1">
      <c r="A238" t="str">
        <f t="shared" ref="A238:A251" si="10">B238 &amp; ":" &amp; C238</f>
        <v>Adult-2,Dependents-3:0-21000</v>
      </c>
      <c r="B238" s="31" t="s">
        <v>272</v>
      </c>
      <c r="C238" s="321" t="s">
        <v>321</v>
      </c>
      <c r="D238" s="324">
        <f>720*52.2/12</f>
        <v>3132</v>
      </c>
    </row>
    <row r="239" spans="1:4" ht="14.4" hidden="1">
      <c r="A239" t="str">
        <f t="shared" si="10"/>
        <v>Adult-2,Dependents-3:21000-32000</v>
      </c>
      <c r="B239" s="31" t="s">
        <v>272</v>
      </c>
      <c r="C239" s="321" t="s">
        <v>322</v>
      </c>
      <c r="D239" s="324">
        <f>720*52.2/12</f>
        <v>3132</v>
      </c>
    </row>
    <row r="240" spans="1:4" ht="14.4" hidden="1">
      <c r="A240" t="str">
        <f t="shared" si="10"/>
        <v>Adult-2,Dependents-3:32001-43000</v>
      </c>
      <c r="B240" s="31" t="s">
        <v>272</v>
      </c>
      <c r="C240" s="321" t="s">
        <v>323</v>
      </c>
      <c r="D240" s="324">
        <f>720*52.2/12</f>
        <v>3132</v>
      </c>
    </row>
    <row r="241" spans="1:4" ht="14.4" hidden="1">
      <c r="A241" t="str">
        <f t="shared" si="10"/>
        <v>Adult-2,Dependents-3:43001-53000</v>
      </c>
      <c r="B241" s="31" t="s">
        <v>272</v>
      </c>
      <c r="C241" s="321" t="s">
        <v>324</v>
      </c>
      <c r="D241" s="319">
        <f>720*52.2/12</f>
        <v>3132</v>
      </c>
    </row>
    <row r="242" spans="1:4" ht="14.4" hidden="1">
      <c r="A242" t="str">
        <f t="shared" si="10"/>
        <v>Adult-2,Dependents-3:53001-64000</v>
      </c>
      <c r="B242" s="31" t="s">
        <v>272</v>
      </c>
      <c r="C242" s="321" t="s">
        <v>325</v>
      </c>
      <c r="D242" s="318">
        <f>757*52.2/12</f>
        <v>3292.9500000000003</v>
      </c>
    </row>
    <row r="243" spans="1:4" ht="14.4" hidden="1">
      <c r="A243" t="str">
        <f t="shared" si="10"/>
        <v>Adult-2,Dependents-3:64001-85000</v>
      </c>
      <c r="B243" s="31" t="s">
        <v>272</v>
      </c>
      <c r="C243" s="321" t="s">
        <v>326</v>
      </c>
      <c r="D243" s="319">
        <f>804*52.2/12</f>
        <v>3497.4</v>
      </c>
    </row>
    <row r="244" spans="1:4" ht="14.4" hidden="1">
      <c r="A244" t="str">
        <f t="shared" si="10"/>
        <v>Adult-2,Dependents-3:85001-107000</v>
      </c>
      <c r="B244" s="31" t="s">
        <v>272</v>
      </c>
      <c r="C244" s="321" t="s">
        <v>327</v>
      </c>
      <c r="D244" s="318">
        <f>878*52.2/12</f>
        <v>3819.3000000000006</v>
      </c>
    </row>
    <row r="245" spans="1:4" hidden="1">
      <c r="A245" t="str">
        <f t="shared" si="10"/>
        <v>Adult-2,Dependents-3:107001-128000</v>
      </c>
      <c r="B245" s="31" t="s">
        <v>272</v>
      </c>
      <c r="C245" s="321" t="s">
        <v>328</v>
      </c>
      <c r="D245" s="277">
        <f>931*52.2/12</f>
        <v>4049.8500000000004</v>
      </c>
    </row>
    <row r="246" spans="1:4" hidden="1">
      <c r="A246" t="str">
        <f t="shared" si="10"/>
        <v>Adult-2,Dependents-3:128001-150000</v>
      </c>
      <c r="B246" s="31" t="s">
        <v>272</v>
      </c>
      <c r="C246" s="321" t="s">
        <v>329</v>
      </c>
      <c r="D246" s="276">
        <f>1022*52.2/12</f>
        <v>4445.7</v>
      </c>
    </row>
    <row r="247" spans="1:4" hidden="1">
      <c r="A247" t="str">
        <f t="shared" si="10"/>
        <v>Adult-2,Dependents-3:150001-171000</v>
      </c>
      <c r="B247" s="31" t="s">
        <v>272</v>
      </c>
      <c r="C247" s="321" t="s">
        <v>330</v>
      </c>
      <c r="D247" s="277">
        <f>1056*52.2/12</f>
        <v>4593.6000000000004</v>
      </c>
    </row>
    <row r="248" spans="1:4" hidden="1">
      <c r="A248" t="str">
        <f t="shared" si="10"/>
        <v>Adult-2,Dependents-3:171001-214000</v>
      </c>
      <c r="B248" s="31" t="s">
        <v>272</v>
      </c>
      <c r="C248" s="321" t="s">
        <v>331</v>
      </c>
      <c r="D248" s="276">
        <f>1095*52.2/12</f>
        <v>4763.25</v>
      </c>
    </row>
    <row r="249" spans="1:4" hidden="1">
      <c r="A249" t="str">
        <f t="shared" si="10"/>
        <v>Adult-2,Dependents-3:214001-267000</v>
      </c>
      <c r="B249" s="31" t="s">
        <v>272</v>
      </c>
      <c r="C249" s="321" t="s">
        <v>332</v>
      </c>
      <c r="D249" s="277">
        <f>1199*52.2/12</f>
        <v>5215.6500000000005</v>
      </c>
    </row>
    <row r="250" spans="1:4" hidden="1">
      <c r="A250" t="str">
        <f t="shared" si="10"/>
        <v>Adult-2,Dependents-3:267001-321000</v>
      </c>
      <c r="B250" s="31" t="s">
        <v>272</v>
      </c>
      <c r="C250" s="321" t="s">
        <v>333</v>
      </c>
      <c r="D250" s="276">
        <f>1330*52.2/12</f>
        <v>5785.5</v>
      </c>
    </row>
    <row r="251" spans="1:4" hidden="1">
      <c r="A251" t="str">
        <f t="shared" si="10"/>
        <v>Adult-2,Dependents-3:321000+</v>
      </c>
      <c r="B251" s="31" t="s">
        <v>272</v>
      </c>
      <c r="C251" s="321" t="s">
        <v>334</v>
      </c>
      <c r="D251" s="277">
        <f>1362*52.2/12</f>
        <v>5924.7000000000007</v>
      </c>
    </row>
    <row r="252" spans="1:4" hidden="1">
      <c r="B252" s="31"/>
      <c r="C252" s="322"/>
      <c r="D252" s="323"/>
    </row>
    <row r="253" spans="1:4" hidden="1">
      <c r="C253" s="322"/>
      <c r="D253" s="323"/>
    </row>
    <row r="254" spans="1:4" ht="14.4" hidden="1">
      <c r="A254" t="str">
        <f t="shared" ref="A254:A267" si="11">B254 &amp; ":" &amp; C254</f>
        <v>Adult-2,Dependents-4:0-21000</v>
      </c>
      <c r="B254" s="31" t="s">
        <v>273</v>
      </c>
      <c r="C254" s="321" t="s">
        <v>321</v>
      </c>
      <c r="D254" s="327">
        <f>(757+63)*52.2/12</f>
        <v>3567</v>
      </c>
    </row>
    <row r="255" spans="1:4" ht="14.4" hidden="1">
      <c r="A255" t="str">
        <f t="shared" si="11"/>
        <v>Adult-2,Dependents-4:21000-32000</v>
      </c>
      <c r="B255" s="31" t="s">
        <v>273</v>
      </c>
      <c r="C255" s="321" t="s">
        <v>322</v>
      </c>
      <c r="D255" s="327">
        <f>(757+63)*52.2/12</f>
        <v>3567</v>
      </c>
    </row>
    <row r="256" spans="1:4" ht="14.4" hidden="1">
      <c r="A256" t="str">
        <f t="shared" si="11"/>
        <v>Adult-2,Dependents-4:32001-43000</v>
      </c>
      <c r="B256" s="31" t="s">
        <v>273</v>
      </c>
      <c r="C256" s="321" t="s">
        <v>323</v>
      </c>
      <c r="D256" s="327">
        <f>(757+63)*52.2/12</f>
        <v>3567</v>
      </c>
    </row>
    <row r="257" spans="1:4" ht="14.4" hidden="1">
      <c r="A257" t="str">
        <f t="shared" si="11"/>
        <v>Adult-2,Dependents-4:43001-53000</v>
      </c>
      <c r="B257" s="31" t="s">
        <v>273</v>
      </c>
      <c r="C257" s="321" t="s">
        <v>324</v>
      </c>
      <c r="D257" s="327">
        <f>(757+63)*52.2/12</f>
        <v>3567</v>
      </c>
    </row>
    <row r="258" spans="1:4" ht="14.4" hidden="1">
      <c r="A258" t="str">
        <f t="shared" si="11"/>
        <v>Adult-2,Dependents-4:53001-64000</v>
      </c>
      <c r="B258" s="31" t="s">
        <v>273</v>
      </c>
      <c r="C258" s="321" t="s">
        <v>325</v>
      </c>
      <c r="D258" s="318">
        <f>(757+63)*52.2/12</f>
        <v>3567</v>
      </c>
    </row>
    <row r="259" spans="1:4" ht="14.4" hidden="1">
      <c r="A259" t="str">
        <f t="shared" si="11"/>
        <v>Adult-2,Dependents-4:64001-85000</v>
      </c>
      <c r="B259" s="31" t="s">
        <v>273</v>
      </c>
      <c r="C259" s="321" t="s">
        <v>326</v>
      </c>
      <c r="D259" s="319">
        <f>(804+63)*52.2/12</f>
        <v>3771.4500000000003</v>
      </c>
    </row>
    <row r="260" spans="1:4" ht="14.4" hidden="1">
      <c r="A260" t="str">
        <f t="shared" si="11"/>
        <v>Adult-2,Dependents-4:85001-107000</v>
      </c>
      <c r="B260" s="31" t="s">
        <v>273</v>
      </c>
      <c r="C260" s="321" t="s">
        <v>327</v>
      </c>
      <c r="D260" s="318">
        <f>(878+63)*52.2/12</f>
        <v>4093.3500000000004</v>
      </c>
    </row>
    <row r="261" spans="1:4" ht="14.4" hidden="1">
      <c r="A261" t="str">
        <f t="shared" si="11"/>
        <v>Adult-2,Dependents-4:107001-128000</v>
      </c>
      <c r="B261" s="31" t="s">
        <v>273</v>
      </c>
      <c r="C261" s="321" t="s">
        <v>328</v>
      </c>
      <c r="D261" s="319">
        <f>(931+63)*52.2/12</f>
        <v>4323.9000000000005</v>
      </c>
    </row>
    <row r="262" spans="1:4" ht="14.4" hidden="1">
      <c r="A262" t="str">
        <f t="shared" si="11"/>
        <v>Adult-2,Dependents-4:128001-150000</v>
      </c>
      <c r="B262" s="31" t="s">
        <v>273</v>
      </c>
      <c r="C262" s="321" t="s">
        <v>329</v>
      </c>
      <c r="D262" s="318">
        <f>(1022+63)*52.2/12</f>
        <v>4719.75</v>
      </c>
    </row>
    <row r="263" spans="1:4" ht="14.4" hidden="1">
      <c r="A263" t="str">
        <f t="shared" si="11"/>
        <v>Adult-2,Dependents-4:150001-171000</v>
      </c>
      <c r="B263" s="31" t="s">
        <v>273</v>
      </c>
      <c r="C263" s="321" t="s">
        <v>330</v>
      </c>
      <c r="D263" s="319">
        <f>(1056+63)*52.2/12</f>
        <v>4867.6500000000005</v>
      </c>
    </row>
    <row r="264" spans="1:4" ht="14.4" hidden="1">
      <c r="A264" t="str">
        <f t="shared" si="11"/>
        <v>Adult-2,Dependents-4:171001-214000</v>
      </c>
      <c r="B264" s="31" t="s">
        <v>273</v>
      </c>
      <c r="C264" s="321" t="s">
        <v>331</v>
      </c>
      <c r="D264" s="318">
        <f>(1095+63)*52.2/12</f>
        <v>5037.3</v>
      </c>
    </row>
    <row r="265" spans="1:4" ht="14.4" hidden="1">
      <c r="A265" t="str">
        <f t="shared" si="11"/>
        <v>Adult-2,Dependents-4:214001-267000</v>
      </c>
      <c r="B265" s="31" t="s">
        <v>273</v>
      </c>
      <c r="C265" s="321" t="s">
        <v>332</v>
      </c>
      <c r="D265" s="319">
        <f>(1199+63)*52.2/12</f>
        <v>5489.7000000000007</v>
      </c>
    </row>
    <row r="266" spans="1:4" ht="14.4" hidden="1">
      <c r="A266" t="str">
        <f t="shared" si="11"/>
        <v>Adult-2,Dependents-4:267001-321000</v>
      </c>
      <c r="B266" s="31" t="s">
        <v>273</v>
      </c>
      <c r="C266" s="321" t="s">
        <v>333</v>
      </c>
      <c r="D266" s="318">
        <f>(1330+63)*52.2/12</f>
        <v>6059.55</v>
      </c>
    </row>
    <row r="267" spans="1:4" ht="14.4" hidden="1">
      <c r="A267" t="str">
        <f t="shared" si="11"/>
        <v>Adult-2,Dependents-4:321000+</v>
      </c>
      <c r="B267" s="31" t="s">
        <v>273</v>
      </c>
      <c r="C267" s="321" t="s">
        <v>334</v>
      </c>
      <c r="D267" s="319">
        <f>(1362+63)*52.2/12</f>
        <v>6198.75</v>
      </c>
    </row>
    <row r="268" spans="1:4" hidden="1">
      <c r="B268" s="31"/>
      <c r="C268" s="322"/>
      <c r="D268" s="323"/>
    </row>
    <row r="269" spans="1:4" ht="14.4" hidden="1">
      <c r="A269" t="str">
        <f t="shared" ref="A269:A282" si="12">B269 &amp; ":" &amp; C269</f>
        <v>Adult-2,Dependents-5:0-21000</v>
      </c>
      <c r="B269" s="31" t="s">
        <v>274</v>
      </c>
      <c r="C269" s="321" t="s">
        <v>321</v>
      </c>
      <c r="D269" s="327">
        <f>(757+63+63)*52.2/12</f>
        <v>3841.0500000000006</v>
      </c>
    </row>
    <row r="270" spans="1:4" ht="14.4" hidden="1">
      <c r="A270" t="str">
        <f t="shared" si="12"/>
        <v>Adult-2,Dependents-5:21000-32000</v>
      </c>
      <c r="B270" s="31" t="s">
        <v>274</v>
      </c>
      <c r="C270" s="321" t="s">
        <v>322</v>
      </c>
      <c r="D270" s="327">
        <f>(757+63+63)*52.2/12</f>
        <v>3841.0500000000006</v>
      </c>
    </row>
    <row r="271" spans="1:4" ht="14.4" hidden="1">
      <c r="A271" t="str">
        <f t="shared" si="12"/>
        <v>Adult-2,Dependents-5:32001-43000</v>
      </c>
      <c r="B271" s="31" t="s">
        <v>274</v>
      </c>
      <c r="C271" s="321" t="s">
        <v>323</v>
      </c>
      <c r="D271" s="327">
        <f>(757+63+63)*52.2/12</f>
        <v>3841.0500000000006</v>
      </c>
    </row>
    <row r="272" spans="1:4" ht="14.4" hidden="1">
      <c r="A272" t="str">
        <f t="shared" si="12"/>
        <v>Adult-2,Dependents-5:43001-53000</v>
      </c>
      <c r="B272" s="31" t="s">
        <v>274</v>
      </c>
      <c r="C272" s="321" t="s">
        <v>324</v>
      </c>
      <c r="D272" s="327">
        <f>(757+63+63)*52.2/12</f>
        <v>3841.0500000000006</v>
      </c>
    </row>
    <row r="273" spans="1:4" ht="14.4" hidden="1">
      <c r="A273" t="str">
        <f t="shared" si="12"/>
        <v>Adult-2,Dependents-5:53001-64000</v>
      </c>
      <c r="B273" s="31" t="s">
        <v>274</v>
      </c>
      <c r="C273" s="321" t="s">
        <v>325</v>
      </c>
      <c r="D273" s="318">
        <f>(757+63+63)*52.2/12</f>
        <v>3841.0500000000006</v>
      </c>
    </row>
    <row r="274" spans="1:4" ht="14.4" hidden="1">
      <c r="A274" t="str">
        <f t="shared" si="12"/>
        <v>Adult-2,Dependents-5:64001-85000</v>
      </c>
      <c r="B274" s="31" t="s">
        <v>274</v>
      </c>
      <c r="C274" s="321" t="s">
        <v>326</v>
      </c>
      <c r="D274" s="319">
        <f>(804+63+63)*52.2/12</f>
        <v>4045.5</v>
      </c>
    </row>
    <row r="275" spans="1:4" ht="14.4" hidden="1">
      <c r="A275" t="str">
        <f t="shared" si="12"/>
        <v>Adult-2,Dependents-5:85001-107000</v>
      </c>
      <c r="B275" s="31" t="s">
        <v>274</v>
      </c>
      <c r="C275" s="321" t="s">
        <v>327</v>
      </c>
      <c r="D275" s="318">
        <f>(878+63+63)*52.2/12</f>
        <v>4367.4000000000005</v>
      </c>
    </row>
    <row r="276" spans="1:4" ht="14.4" hidden="1">
      <c r="A276" t="str">
        <f t="shared" si="12"/>
        <v>Adult-2,Dependents-5:107001-128000</v>
      </c>
      <c r="B276" s="31" t="s">
        <v>274</v>
      </c>
      <c r="C276" s="321" t="s">
        <v>328</v>
      </c>
      <c r="D276" s="319">
        <f>(931+63+63)*52.2/12</f>
        <v>4597.95</v>
      </c>
    </row>
    <row r="277" spans="1:4" ht="14.4" hidden="1">
      <c r="A277" t="str">
        <f t="shared" si="12"/>
        <v>Adult-2,Dependents-5:128001-150000</v>
      </c>
      <c r="B277" s="31" t="s">
        <v>274</v>
      </c>
      <c r="C277" s="321" t="s">
        <v>329</v>
      </c>
      <c r="D277" s="318">
        <f>(1022+63+63)*52.2/12</f>
        <v>4993.8</v>
      </c>
    </row>
    <row r="278" spans="1:4" ht="14.4" hidden="1">
      <c r="A278" t="str">
        <f t="shared" si="12"/>
        <v>Adult-2,Dependents-5:150001-171000</v>
      </c>
      <c r="B278" s="31" t="s">
        <v>274</v>
      </c>
      <c r="C278" s="321" t="s">
        <v>330</v>
      </c>
      <c r="D278" s="319">
        <f>(1056+63+63)*52.2/12</f>
        <v>5141.7</v>
      </c>
    </row>
    <row r="279" spans="1:4" ht="14.4" hidden="1">
      <c r="A279" t="str">
        <f t="shared" si="12"/>
        <v>Adult-2,Dependents-5:171001-214000</v>
      </c>
      <c r="B279" s="31" t="s">
        <v>274</v>
      </c>
      <c r="C279" s="321" t="s">
        <v>331</v>
      </c>
      <c r="D279" s="318">
        <f>(1095+63+63)*52.2/12</f>
        <v>5311.35</v>
      </c>
    </row>
    <row r="280" spans="1:4" ht="14.4" hidden="1">
      <c r="A280" t="str">
        <f t="shared" si="12"/>
        <v>Adult-2,Dependents-5:214001-267000</v>
      </c>
      <c r="B280" s="31" t="s">
        <v>274</v>
      </c>
      <c r="C280" s="321" t="s">
        <v>332</v>
      </c>
      <c r="D280" s="319">
        <f>(1199+63+63)*52.2/12</f>
        <v>5763.75</v>
      </c>
    </row>
    <row r="281" spans="1:4" ht="14.4" hidden="1">
      <c r="A281" t="str">
        <f t="shared" si="12"/>
        <v>Adult-2,Dependents-5:267001-321000</v>
      </c>
      <c r="B281" s="31" t="s">
        <v>274</v>
      </c>
      <c r="C281" s="321" t="s">
        <v>333</v>
      </c>
      <c r="D281" s="318">
        <f>(1330+63+63)*52.2/12</f>
        <v>6333.5999999999995</v>
      </c>
    </row>
    <row r="282" spans="1:4" ht="14.4" hidden="1">
      <c r="A282" t="str">
        <f t="shared" si="12"/>
        <v>Adult-2,Dependents-5:321000+</v>
      </c>
      <c r="B282" s="31" t="s">
        <v>274</v>
      </c>
      <c r="C282" s="321" t="s">
        <v>334</v>
      </c>
      <c r="D282" s="319">
        <f>(1362+63+63)*52.2/12</f>
        <v>6472.8</v>
      </c>
    </row>
    <row r="283" spans="1:4" hidden="1">
      <c r="B283" s="31"/>
      <c r="C283" s="322"/>
      <c r="D283" s="323"/>
    </row>
    <row r="284" spans="1:4" ht="14.4" hidden="1">
      <c r="A284" t="str">
        <f t="shared" ref="A284:A297" si="13">B284 &amp; ":" &amp; C284</f>
        <v>Adult-2,Dependents-6:0-21000</v>
      </c>
      <c r="B284" s="31" t="s">
        <v>275</v>
      </c>
      <c r="C284" s="321" t="s">
        <v>321</v>
      </c>
      <c r="D284" s="324">
        <f t="shared" ref="D284:D289" si="14">(804+63+63)*52.2/12</f>
        <v>4045.5</v>
      </c>
    </row>
    <row r="285" spans="1:4" ht="14.4" hidden="1">
      <c r="A285" t="str">
        <f t="shared" si="13"/>
        <v>Adult-2,Dependents-6:21000-32000</v>
      </c>
      <c r="B285" s="31" t="s">
        <v>275</v>
      </c>
      <c r="C285" s="321" t="s">
        <v>322</v>
      </c>
      <c r="D285" s="324">
        <f t="shared" si="14"/>
        <v>4045.5</v>
      </c>
    </row>
    <row r="286" spans="1:4" ht="14.4" hidden="1">
      <c r="A286" t="str">
        <f t="shared" si="13"/>
        <v>Adult-2,Dependents-6:32001-43000</v>
      </c>
      <c r="B286" s="31" t="s">
        <v>275</v>
      </c>
      <c r="C286" s="321" t="s">
        <v>323</v>
      </c>
      <c r="D286" s="324">
        <f t="shared" si="14"/>
        <v>4045.5</v>
      </c>
    </row>
    <row r="287" spans="1:4" ht="14.4" hidden="1">
      <c r="A287" t="str">
        <f t="shared" si="13"/>
        <v>Adult-2,Dependents-6:43001-53000</v>
      </c>
      <c r="B287" s="31" t="s">
        <v>275</v>
      </c>
      <c r="C287" s="321" t="s">
        <v>324</v>
      </c>
      <c r="D287" s="324">
        <f t="shared" si="14"/>
        <v>4045.5</v>
      </c>
    </row>
    <row r="288" spans="1:4" ht="14.4" hidden="1">
      <c r="A288" t="str">
        <f t="shared" si="13"/>
        <v>Adult-2,Dependents-6:53001-64000</v>
      </c>
      <c r="B288" s="31" t="s">
        <v>275</v>
      </c>
      <c r="C288" s="321" t="s">
        <v>325</v>
      </c>
      <c r="D288" s="324">
        <f t="shared" si="14"/>
        <v>4045.5</v>
      </c>
    </row>
    <row r="289" spans="1:4" ht="14.4" hidden="1">
      <c r="A289" t="str">
        <f t="shared" si="13"/>
        <v>Adult-2,Dependents-6:64001-85000</v>
      </c>
      <c r="B289" s="31" t="s">
        <v>275</v>
      </c>
      <c r="C289" s="321" t="s">
        <v>326</v>
      </c>
      <c r="D289" s="319">
        <f t="shared" si="14"/>
        <v>4045.5</v>
      </c>
    </row>
    <row r="290" spans="1:4" ht="14.4" hidden="1">
      <c r="A290" t="str">
        <f t="shared" si="13"/>
        <v>Adult-2,Dependents-6:85001-107000</v>
      </c>
      <c r="B290" s="31" t="s">
        <v>275</v>
      </c>
      <c r="C290" s="321" t="s">
        <v>327</v>
      </c>
      <c r="D290" s="318">
        <f>(878+63+63)*52.2/12</f>
        <v>4367.4000000000005</v>
      </c>
    </row>
    <row r="291" spans="1:4" ht="14.4" hidden="1">
      <c r="A291" t="str">
        <f t="shared" si="13"/>
        <v>Adult-2,Dependents-6:107001-128000</v>
      </c>
      <c r="B291" s="31" t="s">
        <v>275</v>
      </c>
      <c r="C291" s="321" t="s">
        <v>328</v>
      </c>
      <c r="D291" s="319">
        <f>(931+63+63)*52.2/12</f>
        <v>4597.95</v>
      </c>
    </row>
    <row r="292" spans="1:4" ht="14.4" hidden="1">
      <c r="A292" t="str">
        <f t="shared" si="13"/>
        <v>Adult-2,Dependents-6:128001-150000</v>
      </c>
      <c r="B292" s="31" t="s">
        <v>275</v>
      </c>
      <c r="C292" s="321" t="s">
        <v>329</v>
      </c>
      <c r="D292" s="318">
        <f>(1022+63+63)*52.2/12</f>
        <v>4993.8</v>
      </c>
    </row>
    <row r="293" spans="1:4" ht="14.4" hidden="1">
      <c r="A293" t="str">
        <f t="shared" si="13"/>
        <v>Adult-2,Dependents-6:150001-171000</v>
      </c>
      <c r="B293" s="31" t="s">
        <v>275</v>
      </c>
      <c r="C293" s="321" t="s">
        <v>330</v>
      </c>
      <c r="D293" s="319">
        <f>(1056+63+63)*52.2/12</f>
        <v>5141.7</v>
      </c>
    </row>
    <row r="294" spans="1:4" ht="14.4" hidden="1">
      <c r="A294" t="str">
        <f t="shared" si="13"/>
        <v>Adult-2,Dependents-6:171001-214000</v>
      </c>
      <c r="B294" s="31" t="s">
        <v>275</v>
      </c>
      <c r="C294" s="321" t="s">
        <v>331</v>
      </c>
      <c r="D294" s="318">
        <f>(1095+63+63)*52.2/12</f>
        <v>5311.35</v>
      </c>
    </row>
    <row r="295" spans="1:4" ht="14.4" hidden="1">
      <c r="A295" t="str">
        <f t="shared" si="13"/>
        <v>Adult-2,Dependents-6:214001-267000</v>
      </c>
      <c r="B295" s="31" t="s">
        <v>275</v>
      </c>
      <c r="C295" s="321" t="s">
        <v>332</v>
      </c>
      <c r="D295" s="319">
        <f>(1199+63+63)*52.2/12</f>
        <v>5763.75</v>
      </c>
    </row>
    <row r="296" spans="1:4" ht="14.4" hidden="1">
      <c r="A296" t="str">
        <f t="shared" si="13"/>
        <v>Adult-2,Dependents-6:267001-321000</v>
      </c>
      <c r="B296" s="31" t="s">
        <v>275</v>
      </c>
      <c r="C296" s="321" t="s">
        <v>333</v>
      </c>
      <c r="D296" s="318">
        <f>(1330+63+63)*52.2/12</f>
        <v>6333.5999999999995</v>
      </c>
    </row>
    <row r="297" spans="1:4" ht="14.4" hidden="1">
      <c r="A297" t="str">
        <f t="shared" si="13"/>
        <v>Adult-2,Dependents-6:321000+</v>
      </c>
      <c r="B297" s="31" t="s">
        <v>275</v>
      </c>
      <c r="C297" s="321" t="s">
        <v>334</v>
      </c>
      <c r="D297" s="319">
        <f>(1362+63+63)*52.2/12</f>
        <v>6472.8</v>
      </c>
    </row>
    <row r="298" spans="1:4">
      <c r="A298" s="31"/>
    </row>
    <row r="300" spans="1:4">
      <c r="B300" s="31" t="s">
        <v>250</v>
      </c>
      <c r="C300" t="s">
        <v>251</v>
      </c>
    </row>
    <row r="301" spans="1:4">
      <c r="A301" t="s">
        <v>276</v>
      </c>
      <c r="B301" t="str">
        <f>B84</f>
        <v>Adult-1,Dependents-2</v>
      </c>
      <c r="C301" t="str">
        <f>C84</f>
        <v>Adult-2,Dependents-3</v>
      </c>
    </row>
    <row r="302" spans="1:4">
      <c r="A302" t="s">
        <v>277</v>
      </c>
      <c r="B302" t="str">
        <f>IF(B76&lt;=0,"0-21000",IF(B76&lt;=21000,"0-21000",IF(B76&lt;=32000,"21000-32000",IF(B76&lt;=43000,"32001-43000",IF(B76&lt;=53000,"43001-53000",IF(B76&lt;=64000,"53001-64000",IF(B76&lt;=85000,"64001-85000",IF(B76&lt;=107000,"85001-107000",IF(B76&lt;=128000,"107001-128000",IF(B76&lt;=150000,"128001-150000",IF(B76&lt;=171000,"150001-171000",IF(B76&lt;=214000,"171001-214000",IF(B76&lt;=267000,"214001-267000",IF(B76&lt;=321000,"267001-321000",IF(B76&gt;321000,"321000+",FALSE)))))))))))))))</f>
        <v>85001-107000</v>
      </c>
      <c r="C302" t="str">
        <f>IF(C76&lt;=0,"0-21000",IF(C76&lt;=21000,"0-21000",IF(C76&lt;=32000,"21000-32000",IF(C76&lt;=43000,"32001-43000",IF(C76&lt;=53000,"43001-53000",IF(C76&lt;=64000,"53001-64000",IF(C76&lt;=85000,"64001-85000",IF(C76&lt;=107000,"85001-107000",IF(C76&lt;=128000,"107001-128000",IF(C76&lt;=150000,"128001-150000",IF(C76&lt;=171000,"150001-171000",IF(C76&lt;=214000,"171001-214000",IF(C76&lt;=267000,"214001-267000",IF(C76&lt;=321000,"267001-321000",IF(C76&gt;321000,"321000+",FALSE)))))))))))))))</f>
        <v>128001-150000</v>
      </c>
    </row>
    <row r="303" spans="1:4">
      <c r="A303" t="s">
        <v>278</v>
      </c>
      <c r="B303" s="388">
        <f ca="1">HEM!F46</f>
        <v>2811.4412082129129</v>
      </c>
      <c r="C303" s="388">
        <f ca="1">HEM!J46</f>
        <v>4426.1904067346686</v>
      </c>
    </row>
    <row r="304" spans="1:4">
      <c r="B304" s="375"/>
      <c r="C304" s="375"/>
    </row>
    <row r="305" spans="1:3">
      <c r="B305" s="375"/>
      <c r="C305" s="375"/>
    </row>
    <row r="306" spans="1:3">
      <c r="B306" s="375"/>
      <c r="C306" s="375"/>
    </row>
    <row r="307" spans="1:3">
      <c r="B307" s="375"/>
      <c r="C307" s="375"/>
    </row>
    <row r="308" spans="1:3">
      <c r="A308" s="31" t="s">
        <v>279</v>
      </c>
      <c r="B308" s="375">
        <f ca="1">MAX(SUM(B303:C303),Serviceability!G38)</f>
        <v>7237.6316149475815</v>
      </c>
      <c r="C308" s="375"/>
    </row>
    <row r="311" spans="1:3">
      <c r="A311" s="31" t="s">
        <v>280</v>
      </c>
      <c r="B311" s="89">
        <f ca="1">Serviceability!L32-Tables!B308</f>
        <v>7949.5971350524169</v>
      </c>
    </row>
    <row r="316" spans="1:3" ht="13.8" thickBot="1"/>
    <row r="317" spans="1:3" ht="18" thickBot="1">
      <c r="A317" s="239" t="s">
        <v>284</v>
      </c>
      <c r="B317" s="89">
        <f>IF(Serviceability!H55=0,0,IF(Serviceability!J55=0,0,-PMT((Serviceability!J55)/12,(Serviceability!H55-Serviceability!I55)*12,Serviceability!G55)))</f>
        <v>0</v>
      </c>
    </row>
    <row r="318" spans="1:3" ht="17.399999999999999">
      <c r="A318" s="239" t="s">
        <v>285</v>
      </c>
      <c r="B318">
        <f>IF(Serviceability!H56=0,0,IF(Serviceability!J56=0,0,-PMT((Serviceability!J56)/12,(Serviceability!H56-Serviceability!I56)*12,Serviceability!G56)))</f>
        <v>0</v>
      </c>
    </row>
  </sheetData>
  <sheetProtection selectLockedCells="1" selectUnlockedCells="1"/>
  <mergeCells count="3">
    <mergeCell ref="F69:G69"/>
    <mergeCell ref="B69:C69"/>
    <mergeCell ref="H69:I69"/>
  </mergeCells>
  <phoneticPr fontId="3" type="noConversion"/>
  <conditionalFormatting sqref="B76">
    <cfRule type="expression" priority="2">
      <formula>$A$47:$A$54 =0</formula>
    </cfRule>
  </conditionalFormatting>
  <conditionalFormatting sqref="F76">
    <cfRule type="expression" priority="1">
      <formula>$A$47:$A$54 =0</formula>
    </cfRule>
  </conditionalFormatting>
  <pageMargins left="0.75" right="0.75" top="1" bottom="1" header="0.5" footer="0.5"/>
  <pageSetup paperSize="9" orientation="portrait" r:id="rId1"/>
  <headerFooter alignWithMargins="0"/>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C27"/>
  <sheetViews>
    <sheetView workbookViewId="0">
      <selection activeCell="D32" sqref="D32"/>
    </sheetView>
  </sheetViews>
  <sheetFormatPr defaultColWidth="8.88671875" defaultRowHeight="13.2"/>
  <cols>
    <col min="2" max="2" width="48.6640625" customWidth="1"/>
    <col min="3" max="3" width="19.6640625" bestFit="1" customWidth="1"/>
    <col min="4" max="4" width="9.109375" bestFit="1" customWidth="1"/>
    <col min="5" max="5" width="45.109375" bestFit="1" customWidth="1"/>
    <col min="6" max="6" width="13.44140625" bestFit="1" customWidth="1"/>
  </cols>
  <sheetData>
    <row r="1" spans="1:3" ht="15.6">
      <c r="A1" s="409" t="s">
        <v>102</v>
      </c>
      <c r="B1" s="410"/>
    </row>
    <row r="3" spans="1:3" ht="17.399999999999999">
      <c r="A3" s="104"/>
      <c r="B3" s="110" t="str">
        <f>Serviceability!D49&amp;" (After Tax Rates Applied)"</f>
        <v>Available Income (After Tax Rates Applied)</v>
      </c>
      <c r="C3" s="111">
        <f ca="1">Serviceability!L49</f>
        <v>7949.5971350524169</v>
      </c>
    </row>
    <row r="4" spans="1:3" ht="17.399999999999999">
      <c r="A4" s="104"/>
      <c r="B4" s="108" t="s">
        <v>103</v>
      </c>
      <c r="C4" s="106"/>
    </row>
    <row r="5" spans="1:3" ht="17.399999999999999">
      <c r="A5" s="104"/>
      <c r="B5" s="108" t="str">
        <f>Serviceability!D71</f>
        <v>Total Monthly Commitments</v>
      </c>
      <c r="C5" s="107">
        <f>SUM(Serviceability!L55:L70)</f>
        <v>0</v>
      </c>
    </row>
    <row r="6" spans="1:3">
      <c r="A6" s="106" t="s">
        <v>87</v>
      </c>
      <c r="B6" s="106" t="str">
        <f>Serviceability!$D$53&amp;" - "&amp;Serviceability!E55</f>
        <v>RedZed Loan Applied For - Loan 1</v>
      </c>
      <c r="C6" s="107">
        <f>-Serviceability!L55</f>
        <v>0</v>
      </c>
    </row>
    <row r="7" spans="1:3">
      <c r="A7" s="106" t="s">
        <v>87</v>
      </c>
      <c r="B7" s="106" t="str">
        <f>Serviceability!$D$53&amp;" - "&amp;Serviceability!E56</f>
        <v>RedZed Loan Applied For - Loan 2</v>
      </c>
      <c r="C7" s="107">
        <f>-Serviceability!L56</f>
        <v>0</v>
      </c>
    </row>
    <row r="8" spans="1:3">
      <c r="A8" s="106" t="s">
        <v>88</v>
      </c>
      <c r="B8" s="106" t="str">
        <f>Serviceability!$D$53&amp;" - "&amp;Tables!A32</f>
        <v>RedZed Loan Applied For - Buffered Loan 1</v>
      </c>
      <c r="C8" s="107">
        <f>Tables!B32</f>
        <v>0</v>
      </c>
    </row>
    <row r="9" spans="1:3">
      <c r="A9" s="106" t="s">
        <v>88</v>
      </c>
      <c r="B9" s="106" t="str">
        <f>Serviceability!$D$53&amp;" - "&amp;Tables!A33</f>
        <v>RedZed Loan Applied For - Buffered Loan 2</v>
      </c>
      <c r="C9" s="107">
        <f>Tables!B33</f>
        <v>0</v>
      </c>
    </row>
    <row r="10" spans="1:3">
      <c r="A10" s="106" t="s">
        <v>87</v>
      </c>
      <c r="B10" s="106" t="str">
        <f>Serviceability!$D$59&amp;": "&amp;Serviceability!E59</f>
        <v>Existing Loans: Loan 1 - Existing Secured</v>
      </c>
      <c r="C10" s="107">
        <f>-Serviceability!L59</f>
        <v>0</v>
      </c>
    </row>
    <row r="11" spans="1:3">
      <c r="A11" s="106" t="s">
        <v>87</v>
      </c>
      <c r="B11" s="106" t="str">
        <f>Serviceability!$D$59&amp;": "&amp;Serviceability!E60</f>
        <v>Existing Loans: Loan 2 - Existing Secured</v>
      </c>
      <c r="C11" s="107">
        <f>-Serviceability!L60</f>
        <v>0</v>
      </c>
    </row>
    <row r="12" spans="1:3">
      <c r="A12" s="106" t="s">
        <v>88</v>
      </c>
      <c r="B12" s="106" t="str">
        <f>Serviceability!$D$59&amp;": "&amp;Tables!A37</f>
        <v>Existing Loans: Buffered Loan 1</v>
      </c>
      <c r="C12" s="107">
        <f>Tables!C37</f>
        <v>0</v>
      </c>
    </row>
    <row r="13" spans="1:3">
      <c r="A13" s="106" t="s">
        <v>88</v>
      </c>
      <c r="B13" s="106" t="str">
        <f>Serviceability!$D$59&amp;": "&amp;Tables!A38</f>
        <v>Existing Loans: Buffered Loan 2</v>
      </c>
      <c r="C13" s="107">
        <f>Tables!C38</f>
        <v>0</v>
      </c>
    </row>
    <row r="14" spans="1:3">
      <c r="A14" s="106" t="s">
        <v>88</v>
      </c>
      <c r="B14" s="106" t="str">
        <f>Tables!A42</f>
        <v>Fees - Loan 1</v>
      </c>
      <c r="C14" s="107">
        <f>Tables!C42</f>
        <v>0</v>
      </c>
    </row>
    <row r="15" spans="1:3">
      <c r="A15" s="106" t="s">
        <v>88</v>
      </c>
      <c r="B15" s="106" t="str">
        <f>Tables!A43</f>
        <v>Fees - Loan 2</v>
      </c>
      <c r="C15" s="107">
        <f>Tables!C43</f>
        <v>0</v>
      </c>
    </row>
    <row r="16" spans="1:3" ht="17.399999999999999">
      <c r="A16" s="104"/>
      <c r="B16" s="106"/>
      <c r="C16" s="106"/>
    </row>
    <row r="17" spans="1:3" ht="25.2">
      <c r="A17" s="104"/>
      <c r="B17" s="113" t="s">
        <v>110</v>
      </c>
      <c r="C17" s="112">
        <f>SUM(C5:C16)</f>
        <v>0</v>
      </c>
    </row>
    <row r="18" spans="1:3" ht="18" thickBot="1">
      <c r="A18" s="105"/>
      <c r="B18" s="106"/>
      <c r="C18" s="106"/>
    </row>
    <row r="19" spans="1:3" ht="14.4" thickTop="1" thickBot="1">
      <c r="B19" s="113" t="str">
        <f>Serviceability!I74&amp;" - Calculated as:"</f>
        <v xml:space="preserve"> - Calculated as:</v>
      </c>
      <c r="C19" s="109" t="e">
        <f ca="1">ROUNDUP(C3/C17,2)</f>
        <v>#DIV/0!</v>
      </c>
    </row>
    <row r="20" spans="1:3" ht="13.8" thickTop="1"/>
    <row r="23" spans="1:3">
      <c r="B23" s="31"/>
      <c r="C23" s="31"/>
    </row>
    <row r="24" spans="1:3">
      <c r="B24" s="31"/>
      <c r="C24" s="31"/>
    </row>
    <row r="25" spans="1:3">
      <c r="B25" s="31"/>
      <c r="C25" s="31"/>
    </row>
    <row r="26" spans="1:3">
      <c r="B26" s="31"/>
      <c r="C26" s="31"/>
    </row>
    <row r="27" spans="1:3">
      <c r="B27" s="31"/>
      <c r="C27" s="31"/>
    </row>
  </sheetData>
  <sheetProtection algorithmName="SHA-512" hashValue="mGt/8ITlXGx9fSKsAoak8NKxjwkwtcLVpM6symYJ1NOkQtD/lD36GiAKtrvWXdXBrR9iQYMPGDOw4/5zoRRB6g==" saltValue="AbTGRnJBU/khZdxRbMAgmw==" spinCount="100000" sheet="1" objects="1" scenarios="1"/>
  <mergeCells count="1">
    <mergeCell ref="A1:B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S52"/>
  <sheetViews>
    <sheetView zoomScaleNormal="100" workbookViewId="0">
      <selection activeCell="M10" sqref="M10"/>
    </sheetView>
  </sheetViews>
  <sheetFormatPr defaultColWidth="11.44140625" defaultRowHeight="13.2"/>
  <cols>
    <col min="1" max="1" width="31.33203125" style="35" bestFit="1" customWidth="1"/>
    <col min="2" max="2" width="20.33203125" style="35" bestFit="1" customWidth="1"/>
    <col min="3" max="3" width="17.33203125" style="35" bestFit="1" customWidth="1"/>
    <col min="4" max="4" width="19" style="35" bestFit="1" customWidth="1"/>
    <col min="5" max="5" width="16.6640625" style="35" customWidth="1"/>
    <col min="6" max="6" width="19.5546875" style="35" bestFit="1" customWidth="1"/>
    <col min="7" max="7" width="13.88671875" style="35" customWidth="1"/>
    <col min="8" max="8" width="13.6640625" style="35" customWidth="1"/>
    <col min="9" max="9" width="15.88671875" style="35" customWidth="1"/>
    <col min="10" max="10" width="1.88671875" style="35" customWidth="1"/>
    <col min="11" max="11" width="11.44140625" style="35" bestFit="1" customWidth="1"/>
    <col min="12" max="12" width="11.44140625" style="35" customWidth="1"/>
    <col min="13" max="13" width="15" style="35" bestFit="1" customWidth="1"/>
    <col min="14" max="14" width="10.44140625" style="35" bestFit="1" customWidth="1"/>
    <col min="15" max="15" width="11.44140625" style="35" bestFit="1" customWidth="1"/>
    <col min="16" max="16" width="11.44140625" style="35" customWidth="1"/>
    <col min="17" max="17" width="11.44140625" style="35" bestFit="1" customWidth="1"/>
    <col min="18" max="16384" width="11.44140625" style="35"/>
  </cols>
  <sheetData>
    <row r="1" spans="1:19" s="31" customFormat="1">
      <c r="A1" s="6" t="s">
        <v>19</v>
      </c>
      <c r="B1" s="7"/>
      <c r="C1" s="7"/>
      <c r="D1" s="7"/>
      <c r="E1" s="7"/>
      <c r="F1" s="7"/>
      <c r="G1" s="7"/>
      <c r="H1" s="7"/>
      <c r="I1" s="7"/>
      <c r="J1" s="44"/>
      <c r="K1" s="35"/>
      <c r="L1" s="35"/>
      <c r="M1" s="35"/>
      <c r="N1" s="35"/>
      <c r="O1" s="35"/>
      <c r="P1" s="35"/>
      <c r="Q1" s="35"/>
      <c r="R1" s="35"/>
      <c r="S1" s="35"/>
    </row>
    <row r="2" spans="1:19" s="31" customFormat="1">
      <c r="A2" s="32"/>
      <c r="B2" s="33"/>
      <c r="C2" s="33"/>
      <c r="D2" s="33"/>
      <c r="E2" s="33"/>
      <c r="F2" s="33"/>
      <c r="G2" s="33"/>
      <c r="H2" s="33"/>
      <c r="I2" s="33"/>
      <c r="J2" s="39"/>
      <c r="K2" s="35"/>
      <c r="L2" s="35"/>
      <c r="M2" s="35"/>
      <c r="N2" s="35"/>
      <c r="O2" s="35"/>
      <c r="P2" s="35"/>
      <c r="Q2" s="35"/>
      <c r="R2" s="35"/>
      <c r="S2" s="35"/>
    </row>
    <row r="3" spans="1:19" s="31" customFormat="1">
      <c r="A3" s="26" t="s">
        <v>20</v>
      </c>
      <c r="B3" s="33"/>
      <c r="C3" s="33"/>
      <c r="D3" s="33" t="s">
        <v>21</v>
      </c>
      <c r="E3" s="33" t="s">
        <v>4</v>
      </c>
      <c r="F3" s="33" t="s">
        <v>22</v>
      </c>
      <c r="G3" s="68" t="s">
        <v>355</v>
      </c>
      <c r="H3" s="33" t="s">
        <v>2</v>
      </c>
      <c r="I3" s="33" t="s">
        <v>5</v>
      </c>
      <c r="J3" s="39"/>
      <c r="K3" s="35"/>
      <c r="L3" s="35"/>
      <c r="M3" s="35"/>
      <c r="N3" s="35"/>
      <c r="O3" s="35"/>
      <c r="P3" s="35"/>
      <c r="Q3" s="35"/>
      <c r="R3" s="35"/>
      <c r="S3" s="35"/>
    </row>
    <row r="4" spans="1:19" s="31" customFormat="1" ht="13.8" thickBot="1">
      <c r="A4" s="26"/>
      <c r="B4" s="33"/>
      <c r="C4" s="33"/>
      <c r="D4" s="33"/>
      <c r="E4" s="33"/>
      <c r="F4" s="33"/>
      <c r="G4" s="33"/>
      <c r="H4" s="33"/>
      <c r="I4" s="33"/>
      <c r="J4" s="39"/>
      <c r="K4" s="35"/>
      <c r="L4" s="35"/>
      <c r="M4" s="35"/>
      <c r="N4" s="35"/>
      <c r="O4" s="35"/>
      <c r="P4" s="35"/>
      <c r="Q4" s="35"/>
      <c r="R4" s="35"/>
      <c r="S4" s="35"/>
    </row>
    <row r="5" spans="1:19">
      <c r="A5" s="26" t="s">
        <v>57</v>
      </c>
      <c r="B5" s="33" t="s">
        <v>0</v>
      </c>
      <c r="C5" s="33"/>
      <c r="D5" s="72">
        <f>Serviceability!G13</f>
        <v>100000</v>
      </c>
      <c r="E5" s="72">
        <f>IF(D5&lt;Tables!$A$6,0,IF(AND(D5&gt;Tables!$A$6,D5&lt;Tables!$A$7),(D5-Tables!$A$6)*Tables!$C$6,IF(AND(D5&gt;Tables!$A$7,D5&lt;Tables!$A$8),Tables!$D$7+(D5-Tables!$A$7)*Tables!$C$7,IF(AND(D5&gt;Tables!$A$8,D5&lt;Tables!$A$9),Tables!$D$8+(D5-Tables!$A$8)*Tables!$C$8,IF(D5&gt;Tables!$A$9,Tables!$D$9+(D5-Tables!$A$9)*Tables!$C$9)))))</f>
        <v>22966.674999999999</v>
      </c>
      <c r="F5" s="72">
        <f>D5*Tables!C$16</f>
        <v>2000</v>
      </c>
      <c r="G5" s="72">
        <f>IFERROR(((D5-VLOOKUP(D5,$A$29:$D$33,1,TRUE))*VLOOKUP(D5,$A$29:$D$33,3,TRUE)+VLOOKUP(D5,$A$29:$D$33,4,TRUE)),0)+IFERROR((IF(D5&gt;66667,66667-45001,(D5-VLOOKUP(D5,$A$41:$D$43,1,TRUE)))*VLOOKUP(D5,$A$41:$D$43,3,TRUE)+VLOOKUP(D5,$A$41:$D$43,4,TRUE)),0)</f>
        <v>780.04</v>
      </c>
      <c r="H5" s="34">
        <f>D5-E5-F5+G5</f>
        <v>75813.364999999991</v>
      </c>
      <c r="I5" s="34">
        <f>H5/12</f>
        <v>6317.7804166666656</v>
      </c>
      <c r="J5" s="40"/>
      <c r="K5" s="53"/>
    </row>
    <row r="6" spans="1:19">
      <c r="A6" s="26" t="s">
        <v>58</v>
      </c>
      <c r="B6" s="36" t="s">
        <v>0</v>
      </c>
      <c r="C6" s="36"/>
      <c r="D6" s="73">
        <f>Serviceability!G14</f>
        <v>150000</v>
      </c>
      <c r="E6" s="73">
        <f>IF(D6&lt;Tables!$A$6,0,IF(AND(D6&gt;=Tables!$A$6,D6&lt;Tables!$A$7),(D6-Tables!$A$6)*Tables!$C$6,IF(AND(D6&gt;=Tables!$A$7,D6&lt;Tables!$A$8),Tables!$D$7+(D6-Tables!$A$7)*Tables!$C$7,IF(AND(D6&gt;=Tables!$A$8,D6&lt;Tables!$A$9),Tables!$D$8+(D6-Tables!$A$8)*Tables!$C$8,IF(D6&gt;=Tables!$A$9,Tables!$D$9+(D6-Tables!$A$9)*Tables!$C$9)))))</f>
        <v>40566.629999999997</v>
      </c>
      <c r="F6" s="73">
        <f>D6*Tables!C$16</f>
        <v>3000</v>
      </c>
      <c r="G6" s="73">
        <f t="shared" ref="G6:G8" si="0">IFERROR(((D6-VLOOKUP(D6,$A$29:$D$33,1,TRUE))*VLOOKUP(D6,$A$29:$D$33,3,TRUE)+VLOOKUP(D6,$A$29:$D$33,4,TRUE)),0)+IFERROR((IF(D6&gt;66667,66667-45001,(D6-VLOOKUP(D6,$A$41:$D$43,1,TRUE)))*VLOOKUP(D6,$A$41:$D$43,3,TRUE)+VLOOKUP(D6,$A$41:$D$43,4,TRUE)),0)</f>
        <v>9.9999999999909051E-3</v>
      </c>
      <c r="H6" s="71">
        <f t="shared" ref="H6:H8" si="1">D6-E6-F6+G6</f>
        <v>106433.37999999999</v>
      </c>
      <c r="I6" s="71">
        <f>H6/12</f>
        <v>8869.4483333333319</v>
      </c>
      <c r="J6" s="40"/>
    </row>
    <row r="7" spans="1:19">
      <c r="A7" s="26" t="s">
        <v>59</v>
      </c>
      <c r="B7" s="33" t="s">
        <v>0</v>
      </c>
      <c r="C7" s="36"/>
      <c r="D7" s="73">
        <f>Serviceability!G15</f>
        <v>0</v>
      </c>
      <c r="E7" s="73">
        <f>IF(D7&lt;Tables!$A$6,0,IF(AND(D7&gt;=Tables!$A$6,D7&lt;Tables!$A$7),(D7-Tables!$A$6)*Tables!$C$6,IF(AND(D7&gt;=Tables!$A$7,D7&lt;Tables!$A$8),Tables!$D$7+(D7-Tables!$A$7)*Tables!$C$7,IF(AND(D7&gt;=Tables!$A$8,D7&lt;Tables!$A$9),Tables!$D$8+(D7-Tables!$A$8)*Tables!$C$8,IF(D7&gt;=Tables!$A$9,Tables!$D$9+(D7-Tables!$A$9)*Tables!$C$9)))))</f>
        <v>0</v>
      </c>
      <c r="F7" s="73">
        <f>D7*Tables!C$16</f>
        <v>0</v>
      </c>
      <c r="G7" s="73">
        <f t="shared" si="0"/>
        <v>0</v>
      </c>
      <c r="H7" s="71">
        <f t="shared" si="1"/>
        <v>0</v>
      </c>
      <c r="I7" s="71">
        <f>H7/12</f>
        <v>0</v>
      </c>
      <c r="J7" s="40"/>
    </row>
    <row r="8" spans="1:19" ht="13.8" thickBot="1">
      <c r="A8" s="26" t="s">
        <v>60</v>
      </c>
      <c r="B8" s="36" t="s">
        <v>0</v>
      </c>
      <c r="C8" s="36"/>
      <c r="D8" s="74">
        <f>Serviceability!G16</f>
        <v>0</v>
      </c>
      <c r="E8" s="74">
        <f>IF(D8&lt;Tables!$A$6,0,IF(AND(D8&gt;=Tables!$A$6,D8&lt;Tables!$A$7),(D8-Tables!$A$6)*Tables!$C$6,IF(AND(D8&gt;=Tables!$A$7,D8&lt;Tables!$A$8),Tables!$D$7+(D8-Tables!$A$7)*Tables!$C$7,IF(AND(D8&gt;=Tables!$A$8,D8&lt;Tables!$A$9),Tables!$D$8+(D8-Tables!$A$8)*Tables!$C$8,IF(D8&gt;=Tables!$A$9,Tables!$D$9+(D8-Tables!$A$9)*Tables!$C$9)))))</f>
        <v>0</v>
      </c>
      <c r="F8" s="74">
        <f>D8*Tables!C$16</f>
        <v>0</v>
      </c>
      <c r="G8" s="74">
        <f t="shared" si="0"/>
        <v>0</v>
      </c>
      <c r="H8" s="37">
        <f t="shared" si="1"/>
        <v>0</v>
      </c>
      <c r="I8" s="37">
        <f>H8/12</f>
        <v>0</v>
      </c>
      <c r="J8" s="40"/>
    </row>
    <row r="9" spans="1:19">
      <c r="A9" s="26"/>
      <c r="B9" s="36"/>
      <c r="C9" s="36"/>
      <c r="D9" s="36"/>
      <c r="E9" s="38"/>
      <c r="F9" s="38"/>
      <c r="G9" s="38"/>
      <c r="H9" s="36"/>
      <c r="I9" s="36"/>
      <c r="J9" s="40"/>
    </row>
    <row r="10" spans="1:19">
      <c r="A10" s="26"/>
      <c r="B10" s="36"/>
      <c r="C10" s="36"/>
      <c r="D10" s="36"/>
      <c r="E10" s="38"/>
      <c r="F10" s="38"/>
      <c r="G10" s="38"/>
      <c r="H10" s="36"/>
      <c r="I10" s="36"/>
      <c r="J10" s="40"/>
    </row>
    <row r="11" spans="1:19">
      <c r="A11" s="26"/>
      <c r="B11" s="36"/>
      <c r="C11" s="36"/>
      <c r="D11" s="36"/>
      <c r="E11" s="38"/>
      <c r="F11" s="38"/>
      <c r="G11" s="38"/>
      <c r="H11" s="36"/>
      <c r="I11" s="36"/>
      <c r="J11" s="40"/>
    </row>
    <row r="12" spans="1:19">
      <c r="A12" s="26"/>
      <c r="B12" s="36"/>
      <c r="C12" s="36"/>
      <c r="D12" s="36"/>
      <c r="E12" s="38"/>
      <c r="F12" s="38"/>
      <c r="G12" s="38"/>
      <c r="H12" s="36"/>
      <c r="I12" s="36"/>
      <c r="J12" s="40"/>
    </row>
    <row r="13" spans="1:19">
      <c r="A13" s="26"/>
      <c r="B13" s="36"/>
      <c r="C13" s="36"/>
      <c r="D13" s="36"/>
      <c r="E13" s="38"/>
      <c r="F13" s="38"/>
      <c r="G13" s="38"/>
      <c r="H13" s="36"/>
      <c r="I13" s="36"/>
      <c r="J13" s="40"/>
    </row>
    <row r="14" spans="1:19">
      <c r="A14" s="26"/>
      <c r="B14" s="36"/>
      <c r="C14" s="36"/>
      <c r="D14" s="36"/>
      <c r="E14" s="38"/>
      <c r="F14" s="38"/>
      <c r="G14" s="38"/>
      <c r="H14" s="36"/>
      <c r="I14" s="36"/>
      <c r="J14" s="40"/>
    </row>
    <row r="15" spans="1:19" ht="13.8" thickBot="1">
      <c r="A15" s="41"/>
      <c r="B15" s="42"/>
      <c r="C15" s="42"/>
      <c r="D15" s="42"/>
      <c r="E15" s="42"/>
      <c r="F15" s="42"/>
      <c r="G15" s="42"/>
      <c r="H15" s="42"/>
      <c r="I15" s="42"/>
      <c r="J15" s="43"/>
    </row>
    <row r="18" spans="1:9" ht="13.8" thickBot="1"/>
    <row r="19" spans="1:9">
      <c r="A19" s="333" t="s">
        <v>345</v>
      </c>
      <c r="B19" s="334"/>
      <c r="C19" s="334"/>
      <c r="D19" s="334" t="s">
        <v>353</v>
      </c>
      <c r="E19" s="334" t="s">
        <v>354</v>
      </c>
      <c r="F19" s="334"/>
      <c r="G19" s="335"/>
      <c r="H19" s="46"/>
    </row>
    <row r="20" spans="1:9">
      <c r="A20" s="1"/>
      <c r="B20" s="2"/>
      <c r="C20" s="2"/>
      <c r="D20" s="2"/>
      <c r="E20" s="2"/>
      <c r="F20" s="2"/>
      <c r="G20" s="3"/>
    </row>
    <row r="21" spans="1:9">
      <c r="A21" s="336" t="s">
        <v>346</v>
      </c>
      <c r="B21" s="337" t="s">
        <v>347</v>
      </c>
      <c r="C21" s="337" t="s">
        <v>348</v>
      </c>
      <c r="D21" s="337" t="s">
        <v>349</v>
      </c>
      <c r="E21" s="337" t="s">
        <v>351</v>
      </c>
      <c r="F21" s="337" t="s">
        <v>350</v>
      </c>
      <c r="G21" s="338" t="s">
        <v>352</v>
      </c>
      <c r="H21" s="51"/>
    </row>
    <row r="22" spans="1:9">
      <c r="A22" s="343">
        <v>80000</v>
      </c>
      <c r="B22" s="339">
        <f>VLOOKUP(A22,A29:D33,4,TRUE)</f>
        <v>1080</v>
      </c>
      <c r="C22" s="19">
        <f>VLOOKUP(A22,A29:D33,1,TRUE)</f>
        <v>48001</v>
      </c>
      <c r="D22" s="19">
        <f xml:space="preserve"> A22-C22</f>
        <v>31999</v>
      </c>
      <c r="E22" s="345">
        <f>VLOOKUP(A22,A29:D33,3,TRUE)</f>
        <v>0</v>
      </c>
      <c r="F22" s="19">
        <f>+D22*E22</f>
        <v>0</v>
      </c>
      <c r="G22" s="341">
        <f>SUM(B22,F22)</f>
        <v>1080</v>
      </c>
      <c r="H22" s="51"/>
      <c r="I22" s="47"/>
    </row>
    <row r="23" spans="1:9" ht="13.8" thickBot="1">
      <c r="A23" s="342"/>
      <c r="B23" s="4"/>
      <c r="C23" s="4"/>
      <c r="D23" s="4"/>
      <c r="E23" s="4"/>
      <c r="F23" s="4"/>
      <c r="G23" s="5"/>
    </row>
    <row r="24" spans="1:9">
      <c r="A24"/>
      <c r="B24"/>
      <c r="C24"/>
      <c r="D24"/>
      <c r="E24"/>
      <c r="F24"/>
      <c r="G24"/>
    </row>
    <row r="25" spans="1:9" ht="13.8" thickBot="1">
      <c r="A25"/>
      <c r="B25"/>
      <c r="C25"/>
      <c r="D25"/>
      <c r="E25"/>
      <c r="F25"/>
      <c r="G25"/>
      <c r="H25" s="47"/>
      <c r="I25" s="47"/>
    </row>
    <row r="26" spans="1:9">
      <c r="A26" s="6" t="s">
        <v>342</v>
      </c>
      <c r="B26" s="7"/>
      <c r="C26" s="7"/>
      <c r="D26" s="9"/>
      <c r="E26"/>
      <c r="F26"/>
      <c r="G26"/>
    </row>
    <row r="27" spans="1:9">
      <c r="A27" s="1"/>
      <c r="B27" s="2"/>
      <c r="C27" s="2"/>
      <c r="D27" s="3"/>
      <c r="E27"/>
      <c r="F27"/>
      <c r="G27"/>
    </row>
    <row r="28" spans="1:9">
      <c r="A28" s="26" t="s">
        <v>15</v>
      </c>
      <c r="B28" s="10" t="s">
        <v>16</v>
      </c>
      <c r="C28" s="10" t="s">
        <v>17</v>
      </c>
      <c r="D28" s="27"/>
      <c r="E28"/>
      <c r="F28"/>
      <c r="G28"/>
      <c r="H28" s="53"/>
    </row>
    <row r="29" spans="1:9">
      <c r="A29" s="95">
        <v>1</v>
      </c>
      <c r="B29" s="96">
        <v>37000</v>
      </c>
      <c r="C29" s="97"/>
      <c r="D29" s="102">
        <v>255</v>
      </c>
      <c r="E29"/>
      <c r="F29"/>
      <c r="G29"/>
      <c r="H29" s="48"/>
      <c r="I29" s="49"/>
    </row>
    <row r="30" spans="1:9">
      <c r="A30" s="99">
        <f>B29+1</f>
        <v>37001</v>
      </c>
      <c r="B30" s="100">
        <v>48000</v>
      </c>
      <c r="C30" s="101">
        <v>7.4999999999999997E-2</v>
      </c>
      <c r="D30" s="102">
        <v>255</v>
      </c>
      <c r="E30"/>
      <c r="F30"/>
      <c r="G30"/>
    </row>
    <row r="31" spans="1:9">
      <c r="A31" s="99">
        <f>B30+1</f>
        <v>48001</v>
      </c>
      <c r="B31" s="100">
        <v>90000</v>
      </c>
      <c r="C31" s="101">
        <v>0</v>
      </c>
      <c r="D31" s="102">
        <v>1080</v>
      </c>
      <c r="E31"/>
      <c r="F31"/>
      <c r="G31"/>
      <c r="H31" s="52"/>
      <c r="I31" s="46"/>
    </row>
    <row r="32" spans="1:9">
      <c r="A32" s="99">
        <f>B31+1</f>
        <v>90001</v>
      </c>
      <c r="B32" s="100">
        <v>126000</v>
      </c>
      <c r="C32" s="101">
        <v>-0.03</v>
      </c>
      <c r="D32" s="102">
        <v>1080</v>
      </c>
      <c r="E32"/>
      <c r="F32"/>
      <c r="G32"/>
      <c r="H32" s="47"/>
    </row>
    <row r="33" spans="1:11">
      <c r="A33" s="99">
        <f>B32+1</f>
        <v>126001</v>
      </c>
      <c r="B33" s="100"/>
      <c r="C33" s="101">
        <v>0</v>
      </c>
      <c r="D33" s="102">
        <v>0</v>
      </c>
      <c r="E33"/>
      <c r="F33"/>
      <c r="G33"/>
      <c r="H33" s="47"/>
      <c r="I33" s="50"/>
    </row>
    <row r="34" spans="1:11" ht="13.8" thickBot="1">
      <c r="A34" s="21"/>
      <c r="B34" s="22"/>
      <c r="C34" s="54"/>
      <c r="D34" s="23"/>
      <c r="E34"/>
      <c r="F34"/>
      <c r="G34"/>
      <c r="H34" s="47"/>
      <c r="I34" s="47"/>
    </row>
    <row r="35" spans="1:11">
      <c r="A35"/>
      <c r="B35"/>
      <c r="C35"/>
      <c r="D35"/>
      <c r="E35"/>
      <c r="F35"/>
      <c r="G35"/>
      <c r="I35" s="46"/>
    </row>
    <row r="36" spans="1:11">
      <c r="A36"/>
      <c r="B36"/>
      <c r="C36"/>
      <c r="D36"/>
      <c r="E36"/>
      <c r="F36"/>
      <c r="G36"/>
    </row>
    <row r="37" spans="1:11" ht="13.8" thickBot="1">
      <c r="A37"/>
      <c r="B37"/>
      <c r="C37"/>
      <c r="D37"/>
      <c r="E37"/>
      <c r="F37"/>
      <c r="G37"/>
      <c r="I37" s="47"/>
    </row>
    <row r="38" spans="1:11">
      <c r="A38" s="6" t="s">
        <v>343</v>
      </c>
      <c r="B38" s="7"/>
      <c r="C38" s="7"/>
      <c r="D38" s="9"/>
      <c r="E38"/>
      <c r="F38"/>
      <c r="G38"/>
      <c r="H38" s="47"/>
      <c r="I38" s="47"/>
    </row>
    <row r="39" spans="1:11">
      <c r="A39" s="1"/>
      <c r="B39" s="2"/>
      <c r="C39" s="2"/>
      <c r="D39" s="3"/>
      <c r="E39"/>
      <c r="F39"/>
      <c r="G39"/>
    </row>
    <row r="40" spans="1:11">
      <c r="A40" s="26" t="s">
        <v>15</v>
      </c>
      <c r="B40" s="10" t="s">
        <v>16</v>
      </c>
      <c r="C40" s="10" t="s">
        <v>17</v>
      </c>
      <c r="D40" s="27"/>
      <c r="E40"/>
      <c r="F40"/>
      <c r="G40"/>
    </row>
    <row r="41" spans="1:11">
      <c r="A41" s="95">
        <v>1</v>
      </c>
      <c r="B41" s="96">
        <v>37500</v>
      </c>
      <c r="C41" s="97"/>
      <c r="D41" s="102">
        <v>700</v>
      </c>
      <c r="E41"/>
      <c r="F41"/>
      <c r="G41"/>
      <c r="I41" s="47"/>
      <c r="K41" s="47">
        <f>I41*52</f>
        <v>0</v>
      </c>
    </row>
    <row r="42" spans="1:11">
      <c r="A42" s="99">
        <f>B41+1</f>
        <v>37501</v>
      </c>
      <c r="B42" s="100">
        <v>45000</v>
      </c>
      <c r="C42" s="101">
        <v>-0.05</v>
      </c>
      <c r="D42" s="102">
        <v>700</v>
      </c>
      <c r="E42"/>
      <c r="F42"/>
      <c r="G42"/>
      <c r="I42" s="47"/>
    </row>
    <row r="43" spans="1:11">
      <c r="A43" s="99">
        <f>B42+1</f>
        <v>45001</v>
      </c>
      <c r="B43" s="100">
        <v>66667</v>
      </c>
      <c r="C43" s="101">
        <v>-1.4999999999999999E-2</v>
      </c>
      <c r="D43" s="102">
        <v>325</v>
      </c>
      <c r="E43"/>
      <c r="F43"/>
      <c r="G43"/>
      <c r="I43" s="47"/>
    </row>
    <row r="44" spans="1:11">
      <c r="A44" s="99"/>
      <c r="B44" s="100"/>
      <c r="C44" s="101"/>
      <c r="D44" s="102"/>
      <c r="E44"/>
      <c r="F44"/>
      <c r="G44"/>
      <c r="I44" s="47"/>
    </row>
    <row r="45" spans="1:11">
      <c r="A45" s="99"/>
      <c r="B45" s="100"/>
      <c r="C45" s="101"/>
      <c r="D45" s="102"/>
      <c r="E45"/>
      <c r="F45"/>
      <c r="G45"/>
    </row>
    <row r="46" spans="1:11" ht="13.8" thickBot="1">
      <c r="A46" s="21"/>
      <c r="B46" s="22"/>
      <c r="C46" s="54"/>
      <c r="D46" s="23"/>
      <c r="E46"/>
      <c r="F46"/>
      <c r="G46"/>
      <c r="I46" s="47"/>
    </row>
    <row r="47" spans="1:11" ht="13.8" thickBot="1">
      <c r="A47"/>
      <c r="B47"/>
      <c r="C47"/>
      <c r="D47"/>
      <c r="E47"/>
      <c r="F47"/>
      <c r="G47"/>
    </row>
    <row r="48" spans="1:11">
      <c r="A48" s="333" t="s">
        <v>344</v>
      </c>
      <c r="B48" s="334"/>
      <c r="C48" s="334"/>
      <c r="D48" s="334"/>
      <c r="E48" s="334"/>
      <c r="F48" s="334"/>
      <c r="G48" s="335"/>
      <c r="I48" s="49"/>
    </row>
    <row r="49" spans="1:7">
      <c r="A49" s="1"/>
      <c r="B49" s="2"/>
      <c r="C49" s="2"/>
      <c r="D49" s="2"/>
      <c r="E49" s="2"/>
      <c r="F49" s="2"/>
      <c r="G49" s="3"/>
    </row>
    <row r="50" spans="1:7">
      <c r="A50" s="336" t="s">
        <v>346</v>
      </c>
      <c r="B50" s="337" t="s">
        <v>347</v>
      </c>
      <c r="C50" s="337" t="s">
        <v>348</v>
      </c>
      <c r="D50" s="337" t="s">
        <v>349</v>
      </c>
      <c r="E50" s="337" t="s">
        <v>351</v>
      </c>
      <c r="F50" s="337" t="s">
        <v>350</v>
      </c>
      <c r="G50" s="338" t="s">
        <v>352</v>
      </c>
    </row>
    <row r="51" spans="1:7">
      <c r="A51" s="344">
        <v>80000</v>
      </c>
      <c r="B51" s="339">
        <f>VLOOKUP(A51,A41:D43,4,TRUE)</f>
        <v>325</v>
      </c>
      <c r="C51" s="19">
        <f>VLOOKUP(A51,A41:D43,1,TRUE)</f>
        <v>45001</v>
      </c>
      <c r="D51" s="19">
        <f>IF(A51&gt;66667, 66667-45001, A51-C51)</f>
        <v>21666</v>
      </c>
      <c r="E51" s="340">
        <f>VLOOKUP(A51,A41:D43,3,TRUE)</f>
        <v>-1.4999999999999999E-2</v>
      </c>
      <c r="F51" s="19">
        <f>+D51*E51</f>
        <v>-324.99</v>
      </c>
      <c r="G51" s="341">
        <f>SUM(B51,F51)</f>
        <v>9.9999999999909051E-3</v>
      </c>
    </row>
    <row r="52" spans="1:7" ht="13.8" thickBot="1">
      <c r="A52" s="342"/>
      <c r="B52" s="4"/>
      <c r="C52" s="4"/>
      <c r="D52" s="4"/>
      <c r="E52" s="4"/>
      <c r="F52" s="4"/>
      <c r="G52" s="5"/>
    </row>
  </sheetData>
  <sheetProtection selectLockedCells="1" selectUnlockedCells="1"/>
  <phoneticPr fontId="3"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7"/>
  <sheetViews>
    <sheetView zoomScale="60" zoomScaleNormal="60" zoomScalePageLayoutView="60" workbookViewId="0">
      <pane ySplit="1" topLeftCell="A2" activePane="bottomLeft" state="frozen"/>
      <selection activeCell="P17" sqref="P17"/>
      <selection pane="bottomLeft" activeCell="E23" sqref="E23"/>
    </sheetView>
  </sheetViews>
  <sheetFormatPr defaultColWidth="8.88671875" defaultRowHeight="13.2"/>
  <cols>
    <col min="1" max="1" width="8.88671875" style="130"/>
    <col min="2" max="2" width="15" customWidth="1"/>
    <col min="3" max="3" width="14.109375" customWidth="1"/>
    <col min="4" max="4" width="15.88671875" customWidth="1"/>
    <col min="5" max="5" width="53.33203125" customWidth="1"/>
    <col min="6" max="6" width="56.6640625" customWidth="1"/>
    <col min="7" max="7" width="14.33203125" customWidth="1"/>
    <col min="8" max="8" width="13.33203125" customWidth="1"/>
    <col min="9" max="9" width="22.44140625" customWidth="1"/>
    <col min="10" max="10" width="12.109375" customWidth="1"/>
    <col min="11" max="11" width="15.44140625" customWidth="1"/>
    <col min="12" max="12" width="15.109375" customWidth="1"/>
    <col min="15" max="15" width="23.109375" customWidth="1"/>
    <col min="17" max="17" width="15.44140625" customWidth="1"/>
  </cols>
  <sheetData>
    <row r="1" spans="1:17" s="122" customFormat="1" ht="41.4">
      <c r="A1" s="118" t="s">
        <v>112</v>
      </c>
      <c r="B1" s="118" t="s">
        <v>113</v>
      </c>
      <c r="C1" s="119" t="s">
        <v>114</v>
      </c>
      <c r="D1" s="120" t="s">
        <v>115</v>
      </c>
      <c r="E1" s="121" t="s">
        <v>116</v>
      </c>
      <c r="F1" s="121" t="s">
        <v>117</v>
      </c>
      <c r="G1" s="119" t="s">
        <v>118</v>
      </c>
      <c r="H1" s="119" t="s">
        <v>119</v>
      </c>
      <c r="I1" s="121" t="s">
        <v>120</v>
      </c>
      <c r="J1" s="121" t="s">
        <v>121</v>
      </c>
      <c r="K1" s="121" t="s">
        <v>232</v>
      </c>
      <c r="L1" s="120" t="s">
        <v>123</v>
      </c>
      <c r="M1" s="121" t="s">
        <v>124</v>
      </c>
      <c r="N1" s="120" t="s">
        <v>125</v>
      </c>
      <c r="O1" s="120" t="s">
        <v>126</v>
      </c>
      <c r="P1" s="121" t="s">
        <v>127</v>
      </c>
      <c r="Q1" s="121" t="s">
        <v>122</v>
      </c>
    </row>
    <row r="2" spans="1:17" s="129" customFormat="1" ht="96.6">
      <c r="A2" s="123">
        <v>1</v>
      </c>
      <c r="B2" s="124">
        <v>42831</v>
      </c>
      <c r="C2" s="123" t="s">
        <v>128</v>
      </c>
      <c r="D2" s="123"/>
      <c r="E2" s="125" t="s">
        <v>187</v>
      </c>
      <c r="F2" s="126"/>
      <c r="G2" s="126"/>
      <c r="H2" s="126"/>
      <c r="I2" s="126"/>
      <c r="J2" s="126"/>
      <c r="K2" s="127" t="str">
        <f>'Version Control'!C2</f>
        <v>V6.4 Test</v>
      </c>
      <c r="L2" s="145" t="s">
        <v>129</v>
      </c>
      <c r="M2" s="127"/>
      <c r="N2" s="127"/>
      <c r="O2" s="127" t="s">
        <v>130</v>
      </c>
      <c r="P2" s="128">
        <v>42835</v>
      </c>
      <c r="Q2" s="127" t="str">
        <f>'Version Control'!$C$9</f>
        <v>v6.5</v>
      </c>
    </row>
    <row r="3" spans="1:17" s="129" customFormat="1" ht="69">
      <c r="A3" s="123">
        <v>2</v>
      </c>
      <c r="B3" s="124">
        <v>42835</v>
      </c>
      <c r="C3" s="123" t="s">
        <v>154</v>
      </c>
      <c r="D3" s="123"/>
      <c r="E3" s="125" t="s">
        <v>192</v>
      </c>
      <c r="F3" s="126" t="s">
        <v>193</v>
      </c>
      <c r="G3" s="146">
        <v>42835</v>
      </c>
      <c r="H3" s="126" t="s">
        <v>128</v>
      </c>
      <c r="I3" s="126" t="s">
        <v>194</v>
      </c>
      <c r="J3" s="126"/>
      <c r="K3" s="127" t="str">
        <f>'Version Control'!C3</f>
        <v>V6.4 Test2  (v6.42)</v>
      </c>
      <c r="L3" s="145" t="s">
        <v>191</v>
      </c>
      <c r="M3" s="127"/>
      <c r="N3" s="127"/>
      <c r="O3" s="127" t="s">
        <v>130</v>
      </c>
      <c r="P3" s="128">
        <v>42835</v>
      </c>
      <c r="Q3" s="127" t="str">
        <f>'Version Control'!$C$9</f>
        <v>v6.5</v>
      </c>
    </row>
    <row r="4" spans="1:17" s="129" customFormat="1" ht="27.6">
      <c r="A4" s="123">
        <v>3</v>
      </c>
      <c r="B4" s="124">
        <v>42849</v>
      </c>
      <c r="C4" s="123" t="s">
        <v>128</v>
      </c>
      <c r="D4" s="123" t="s">
        <v>131</v>
      </c>
      <c r="E4" s="125" t="s">
        <v>132</v>
      </c>
      <c r="F4" s="126" t="s">
        <v>133</v>
      </c>
      <c r="G4" s="126"/>
      <c r="H4" s="126"/>
      <c r="I4" s="126"/>
      <c r="J4" s="126"/>
      <c r="K4" s="127" t="str">
        <f>'Version Control'!$C$4</f>
        <v>V6.6 Test (v6.43)</v>
      </c>
      <c r="L4" s="145" t="s">
        <v>129</v>
      </c>
      <c r="M4" s="127"/>
      <c r="N4" s="127"/>
      <c r="O4" s="127" t="s">
        <v>130</v>
      </c>
      <c r="P4" s="128">
        <v>42856</v>
      </c>
      <c r="Q4" s="127" t="str">
        <f>'Version Control'!$C$9</f>
        <v>v6.5</v>
      </c>
    </row>
    <row r="5" spans="1:17" s="129" customFormat="1" ht="55.2">
      <c r="A5" s="123">
        <v>4</v>
      </c>
      <c r="B5" s="124">
        <v>42849</v>
      </c>
      <c r="C5" s="123" t="s">
        <v>134</v>
      </c>
      <c r="D5" s="123"/>
      <c r="E5" s="125" t="s">
        <v>135</v>
      </c>
      <c r="F5" s="126"/>
      <c r="G5" s="126"/>
      <c r="H5" s="126"/>
      <c r="I5" s="126"/>
      <c r="J5" s="126"/>
      <c r="K5" s="127" t="str">
        <f>'Version Control'!$C$4</f>
        <v>V6.6 Test (v6.43)</v>
      </c>
      <c r="L5" s="145" t="s">
        <v>129</v>
      </c>
      <c r="M5" s="127"/>
      <c r="N5" s="127"/>
      <c r="O5" s="127" t="s">
        <v>130</v>
      </c>
      <c r="P5" s="128">
        <v>42856</v>
      </c>
      <c r="Q5" s="127" t="str">
        <f>'Version Control'!$C$9</f>
        <v>v6.5</v>
      </c>
    </row>
    <row r="6" spans="1:17" s="129" customFormat="1" ht="41.4">
      <c r="A6" s="123">
        <v>5</v>
      </c>
      <c r="B6" s="124">
        <v>42849</v>
      </c>
      <c r="C6" s="123" t="s">
        <v>134</v>
      </c>
      <c r="D6" s="123" t="s">
        <v>136</v>
      </c>
      <c r="E6" s="125" t="s">
        <v>137</v>
      </c>
      <c r="F6" s="126" t="s">
        <v>138</v>
      </c>
      <c r="G6" s="126"/>
      <c r="H6" s="126"/>
      <c r="I6" s="126"/>
      <c r="J6" s="126"/>
      <c r="K6" s="127" t="str">
        <f>'Version Control'!$C$4</f>
        <v>V6.6 Test (v6.43)</v>
      </c>
      <c r="L6" s="145" t="s">
        <v>190</v>
      </c>
      <c r="M6" s="127"/>
      <c r="N6" s="127"/>
      <c r="O6" s="127" t="s">
        <v>130</v>
      </c>
      <c r="P6" s="128">
        <v>42856</v>
      </c>
      <c r="Q6" s="127" t="str">
        <f>'Version Control'!$C$9</f>
        <v>v6.5</v>
      </c>
    </row>
    <row r="7" spans="1:17" s="129" customFormat="1" ht="55.2">
      <c r="A7" s="123">
        <v>6</v>
      </c>
      <c r="B7" s="124">
        <v>42849</v>
      </c>
      <c r="C7" s="123" t="s">
        <v>134</v>
      </c>
      <c r="D7" s="123" t="s">
        <v>24</v>
      </c>
      <c r="E7" s="125" t="s">
        <v>139</v>
      </c>
      <c r="F7" s="126"/>
      <c r="G7" s="126"/>
      <c r="H7" s="126"/>
      <c r="I7" s="126"/>
      <c r="J7" s="126"/>
      <c r="K7" s="127" t="str">
        <f>'Version Control'!$C$4</f>
        <v>V6.6 Test (v6.43)</v>
      </c>
      <c r="L7" s="145" t="s">
        <v>129</v>
      </c>
      <c r="M7" s="127"/>
      <c r="N7" s="127"/>
      <c r="O7" s="127" t="s">
        <v>130</v>
      </c>
      <c r="P7" s="128">
        <v>42856</v>
      </c>
      <c r="Q7" s="127" t="str">
        <f>'Version Control'!$C$9</f>
        <v>v6.5</v>
      </c>
    </row>
    <row r="8" spans="1:17" s="129" customFormat="1" ht="41.4">
      <c r="A8" s="123">
        <v>7</v>
      </c>
      <c r="B8" s="124">
        <v>42849</v>
      </c>
      <c r="C8" s="123" t="s">
        <v>134</v>
      </c>
      <c r="D8" s="123" t="s">
        <v>24</v>
      </c>
      <c r="E8" s="125" t="s">
        <v>140</v>
      </c>
      <c r="F8" s="126"/>
      <c r="G8" s="126"/>
      <c r="H8" s="126"/>
      <c r="I8" s="126"/>
      <c r="J8" s="126"/>
      <c r="K8" s="127" t="str">
        <f>'Version Control'!$C$4</f>
        <v>V6.6 Test (v6.43)</v>
      </c>
      <c r="L8" s="145" t="s">
        <v>129</v>
      </c>
      <c r="M8" s="127"/>
      <c r="N8" s="127"/>
      <c r="O8" s="127" t="s">
        <v>130</v>
      </c>
      <c r="P8" s="128">
        <v>42856</v>
      </c>
      <c r="Q8" s="127" t="str">
        <f>'Version Control'!$C$9</f>
        <v>v6.5</v>
      </c>
    </row>
    <row r="9" spans="1:17" s="129" customFormat="1" ht="27.6">
      <c r="A9" s="123">
        <v>8</v>
      </c>
      <c r="B9" s="124">
        <v>42849</v>
      </c>
      <c r="C9" s="123" t="s">
        <v>134</v>
      </c>
      <c r="D9" s="123" t="s">
        <v>24</v>
      </c>
      <c r="E9" s="125" t="s">
        <v>141</v>
      </c>
      <c r="F9" s="126"/>
      <c r="G9" s="126"/>
      <c r="H9" s="126"/>
      <c r="I9" s="126"/>
      <c r="J9" s="126"/>
      <c r="K9" s="127" t="str">
        <f>'Version Control'!$C$4</f>
        <v>V6.6 Test (v6.43)</v>
      </c>
      <c r="L9" s="145" t="s">
        <v>129</v>
      </c>
      <c r="M9" s="127"/>
      <c r="N9" s="127"/>
      <c r="O9" s="127" t="s">
        <v>130</v>
      </c>
      <c r="P9" s="128">
        <v>42856</v>
      </c>
      <c r="Q9" s="127" t="str">
        <f>'Version Control'!$C$9</f>
        <v>v6.5</v>
      </c>
    </row>
    <row r="10" spans="1:17" s="129" customFormat="1" ht="27.6">
      <c r="A10" s="123">
        <v>9</v>
      </c>
      <c r="B10" s="124">
        <v>42849</v>
      </c>
      <c r="C10" s="123" t="s">
        <v>134</v>
      </c>
      <c r="D10" s="123" t="s">
        <v>24</v>
      </c>
      <c r="E10" s="125" t="s">
        <v>142</v>
      </c>
      <c r="F10" s="126"/>
      <c r="G10" s="126"/>
      <c r="H10" s="126"/>
      <c r="I10" s="126"/>
      <c r="J10" s="126"/>
      <c r="K10" s="127" t="str">
        <f>'Version Control'!$C$4</f>
        <v>V6.6 Test (v6.43)</v>
      </c>
      <c r="L10" s="145" t="s">
        <v>129</v>
      </c>
      <c r="M10" s="127"/>
      <c r="N10" s="127"/>
      <c r="O10" s="127" t="s">
        <v>130</v>
      </c>
      <c r="P10" s="128">
        <v>42856</v>
      </c>
      <c r="Q10" s="127" t="str">
        <f>'Version Control'!$C$9</f>
        <v>v6.5</v>
      </c>
    </row>
    <row r="11" spans="1:17" s="129" customFormat="1" ht="41.4">
      <c r="A11" s="123">
        <v>10</v>
      </c>
      <c r="B11" s="124">
        <v>42849</v>
      </c>
      <c r="C11" s="123" t="s">
        <v>134</v>
      </c>
      <c r="D11" s="123" t="s">
        <v>136</v>
      </c>
      <c r="E11" s="125" t="s">
        <v>198</v>
      </c>
      <c r="F11" s="126"/>
      <c r="G11" s="126"/>
      <c r="H11" s="126"/>
      <c r="I11" s="126"/>
      <c r="J11" s="126"/>
      <c r="K11" s="127" t="str">
        <f>'Version Control'!$C$4</f>
        <v>V6.6 Test (v6.43)</v>
      </c>
      <c r="L11" s="145" t="s">
        <v>191</v>
      </c>
      <c r="M11" s="127"/>
      <c r="N11" s="127"/>
      <c r="O11" s="127" t="s">
        <v>130</v>
      </c>
      <c r="P11" s="128">
        <v>42856</v>
      </c>
      <c r="Q11" s="127" t="str">
        <f>'Version Control'!$C$9</f>
        <v>v6.5</v>
      </c>
    </row>
    <row r="12" spans="1:17" s="129" customFormat="1" ht="27.6">
      <c r="A12" s="123">
        <v>11</v>
      </c>
      <c r="B12" s="124">
        <v>42849</v>
      </c>
      <c r="C12" s="123" t="s">
        <v>134</v>
      </c>
      <c r="D12" s="123" t="s">
        <v>24</v>
      </c>
      <c r="E12" s="125" t="s">
        <v>199</v>
      </c>
      <c r="F12" s="126"/>
      <c r="G12" s="126"/>
      <c r="H12" s="126"/>
      <c r="I12" s="126"/>
      <c r="J12" s="126"/>
      <c r="K12" s="127" t="str">
        <f>'Version Control'!$C$4</f>
        <v>V6.6 Test (v6.43)</v>
      </c>
      <c r="L12" s="145" t="s">
        <v>129</v>
      </c>
      <c r="M12" s="127"/>
      <c r="N12" s="127"/>
      <c r="O12" s="127" t="s">
        <v>130</v>
      </c>
      <c r="P12" s="128">
        <v>42856</v>
      </c>
      <c r="Q12" s="127" t="str">
        <f>'Version Control'!$C$9</f>
        <v>v6.5</v>
      </c>
    </row>
    <row r="13" spans="1:17" s="129" customFormat="1" ht="27.6">
      <c r="A13" s="123">
        <v>12</v>
      </c>
      <c r="B13" s="124">
        <v>42849</v>
      </c>
      <c r="C13" s="123" t="s">
        <v>134</v>
      </c>
      <c r="D13" s="123" t="s">
        <v>24</v>
      </c>
      <c r="E13" s="125" t="s">
        <v>200</v>
      </c>
      <c r="F13" s="126"/>
      <c r="G13" s="126"/>
      <c r="H13" s="126"/>
      <c r="I13" s="126"/>
      <c r="J13" s="126"/>
      <c r="K13" s="127" t="str">
        <f>'Version Control'!$C$4</f>
        <v>V6.6 Test (v6.43)</v>
      </c>
      <c r="L13" s="145" t="s">
        <v>129</v>
      </c>
      <c r="M13" s="127"/>
      <c r="N13" s="127"/>
      <c r="O13" s="127" t="s">
        <v>130</v>
      </c>
      <c r="P13" s="128">
        <v>42856</v>
      </c>
      <c r="Q13" s="127" t="str">
        <f>'Version Control'!$C$9</f>
        <v>v6.5</v>
      </c>
    </row>
    <row r="14" spans="1:17" s="129" customFormat="1" ht="41.4">
      <c r="A14" s="123">
        <v>13</v>
      </c>
      <c r="B14" s="124">
        <v>42849</v>
      </c>
      <c r="C14" s="123" t="s">
        <v>134</v>
      </c>
      <c r="D14" s="123" t="s">
        <v>24</v>
      </c>
      <c r="E14" s="125" t="s">
        <v>143</v>
      </c>
      <c r="F14" s="126"/>
      <c r="G14" s="126"/>
      <c r="H14" s="126"/>
      <c r="I14" s="126"/>
      <c r="J14" s="126"/>
      <c r="K14" s="127" t="str">
        <f>'Version Control'!$C$4</f>
        <v>V6.6 Test (v6.43)</v>
      </c>
      <c r="L14" s="145" t="s">
        <v>129</v>
      </c>
      <c r="M14" s="127"/>
      <c r="N14" s="127"/>
      <c r="O14" s="127" t="s">
        <v>130</v>
      </c>
      <c r="P14" s="128">
        <v>42856</v>
      </c>
      <c r="Q14" s="127" t="str">
        <f>'Version Control'!$C$9</f>
        <v>v6.5</v>
      </c>
    </row>
    <row r="15" spans="1:17" s="129" customFormat="1" ht="41.4">
      <c r="A15" s="123">
        <v>14</v>
      </c>
      <c r="B15" s="124">
        <v>42849</v>
      </c>
      <c r="C15" s="123" t="s">
        <v>134</v>
      </c>
      <c r="D15" s="123" t="s">
        <v>136</v>
      </c>
      <c r="E15" s="125" t="s">
        <v>144</v>
      </c>
      <c r="F15" s="126"/>
      <c r="G15" s="126"/>
      <c r="H15" s="126"/>
      <c r="I15" s="126"/>
      <c r="J15" s="126"/>
      <c r="K15" s="127" t="str">
        <f>'Version Control'!$C$4</f>
        <v>V6.6 Test (v6.43)</v>
      </c>
      <c r="L15" s="145" t="s">
        <v>129</v>
      </c>
      <c r="M15" s="127"/>
      <c r="N15" s="127"/>
      <c r="O15" s="127" t="s">
        <v>130</v>
      </c>
      <c r="P15" s="128">
        <v>42856</v>
      </c>
      <c r="Q15" s="127" t="str">
        <f>'Version Control'!$C$9</f>
        <v>v6.5</v>
      </c>
    </row>
    <row r="16" spans="1:17" s="129" customFormat="1" ht="27.6">
      <c r="A16" s="123">
        <v>15</v>
      </c>
      <c r="B16" s="124">
        <v>42894</v>
      </c>
      <c r="C16" s="123" t="s">
        <v>134</v>
      </c>
      <c r="D16" s="123" t="s">
        <v>19</v>
      </c>
      <c r="E16" s="125" t="s">
        <v>145</v>
      </c>
      <c r="F16" s="126"/>
      <c r="G16" s="126"/>
      <c r="H16" s="126"/>
      <c r="I16" s="126"/>
      <c r="J16" s="126"/>
      <c r="K16" s="127" t="str">
        <f>'Version Control'!$C$5</f>
        <v>V6.8 Test (v6.44)</v>
      </c>
      <c r="L16" s="145" t="s">
        <v>129</v>
      </c>
      <c r="M16" s="127"/>
      <c r="N16" s="127"/>
      <c r="O16" s="127" t="s">
        <v>130</v>
      </c>
      <c r="P16" s="128">
        <v>42901</v>
      </c>
      <c r="Q16" s="127" t="str">
        <f>'Version Control'!$C$9</f>
        <v>v6.5</v>
      </c>
    </row>
    <row r="17" spans="1:17" s="129" customFormat="1" ht="41.4">
      <c r="A17" s="123">
        <v>16</v>
      </c>
      <c r="B17" s="124">
        <v>42894</v>
      </c>
      <c r="C17" s="123" t="s">
        <v>134</v>
      </c>
      <c r="D17" s="123" t="s">
        <v>19</v>
      </c>
      <c r="E17" s="125" t="s">
        <v>146</v>
      </c>
      <c r="F17" s="126"/>
      <c r="G17" s="126"/>
      <c r="H17" s="126"/>
      <c r="I17" s="126"/>
      <c r="J17" s="126"/>
      <c r="K17" s="127" t="str">
        <f>'Version Control'!$C$5</f>
        <v>V6.8 Test (v6.44)</v>
      </c>
      <c r="L17" s="145" t="s">
        <v>129</v>
      </c>
      <c r="M17" s="127"/>
      <c r="N17" s="127"/>
      <c r="O17" s="127" t="s">
        <v>130</v>
      </c>
      <c r="P17" s="128">
        <v>42901</v>
      </c>
      <c r="Q17" s="127" t="str">
        <f>'Version Control'!$C$9</f>
        <v>v6.5</v>
      </c>
    </row>
    <row r="18" spans="1:17" s="129" customFormat="1" ht="27.6">
      <c r="A18" s="123">
        <v>17</v>
      </c>
      <c r="B18" s="124">
        <v>42894</v>
      </c>
      <c r="C18" s="123" t="s">
        <v>134</v>
      </c>
      <c r="D18" s="123" t="s">
        <v>24</v>
      </c>
      <c r="E18" s="125" t="s">
        <v>147</v>
      </c>
      <c r="F18" s="126"/>
      <c r="G18" s="126"/>
      <c r="H18" s="126"/>
      <c r="I18" s="126"/>
      <c r="J18" s="126"/>
      <c r="K18" s="127" t="str">
        <f>'Version Control'!$C$5</f>
        <v>V6.8 Test (v6.44)</v>
      </c>
      <c r="L18" s="145" t="s">
        <v>191</v>
      </c>
      <c r="M18" s="127"/>
      <c r="N18" s="127"/>
      <c r="O18" s="127" t="s">
        <v>130</v>
      </c>
      <c r="P18" s="128">
        <v>42901</v>
      </c>
      <c r="Q18" s="127" t="str">
        <f>'Version Control'!$C$9</f>
        <v>v6.5</v>
      </c>
    </row>
    <row r="19" spans="1:17" s="129" customFormat="1" ht="41.4">
      <c r="A19" s="123">
        <v>18</v>
      </c>
      <c r="B19" s="124">
        <v>42905</v>
      </c>
      <c r="C19" s="123" t="s">
        <v>154</v>
      </c>
      <c r="D19" s="147" t="s">
        <v>204</v>
      </c>
      <c r="E19" s="125" t="s">
        <v>205</v>
      </c>
      <c r="F19" s="126"/>
      <c r="G19" s="126"/>
      <c r="H19" s="126"/>
      <c r="I19" s="126"/>
      <c r="J19" s="126"/>
      <c r="K19" s="127" t="str">
        <f>'Version Control'!$C$6</f>
        <v>V6.9 (v6.45)</v>
      </c>
      <c r="L19" s="145" t="s">
        <v>129</v>
      </c>
      <c r="M19" s="127"/>
      <c r="N19" s="127"/>
      <c r="O19" s="127" t="s">
        <v>130</v>
      </c>
      <c r="P19" s="128">
        <v>42906</v>
      </c>
      <c r="Q19" s="127" t="str">
        <f>'Version Control'!$C$9</f>
        <v>v6.5</v>
      </c>
    </row>
    <row r="20" spans="1:17" s="129" customFormat="1" ht="27.6">
      <c r="A20" s="123">
        <v>19</v>
      </c>
      <c r="B20" s="124">
        <v>42905</v>
      </c>
      <c r="C20" s="123" t="s">
        <v>208</v>
      </c>
      <c r="D20" s="123" t="s">
        <v>24</v>
      </c>
      <c r="E20" s="125" t="s">
        <v>207</v>
      </c>
      <c r="F20" s="126"/>
      <c r="G20" s="126"/>
      <c r="H20" s="126"/>
      <c r="I20" s="126"/>
      <c r="J20" s="126"/>
      <c r="K20" s="127" t="str">
        <f>'Version Control'!$C$6</f>
        <v>V6.9 (v6.45)</v>
      </c>
      <c r="L20" s="145" t="s">
        <v>129</v>
      </c>
      <c r="M20" s="127"/>
      <c r="N20" s="127"/>
      <c r="O20" s="127" t="s">
        <v>130</v>
      </c>
      <c r="P20" s="128">
        <v>42907</v>
      </c>
      <c r="Q20" s="127" t="str">
        <f>'Version Control'!$C$9</f>
        <v>v6.5</v>
      </c>
    </row>
    <row r="21" spans="1:17" ht="41.4">
      <c r="A21" s="123">
        <v>20</v>
      </c>
      <c r="B21" s="124">
        <v>42877</v>
      </c>
      <c r="C21" s="123" t="s">
        <v>214</v>
      </c>
      <c r="D21" s="123" t="s">
        <v>24</v>
      </c>
      <c r="E21" s="125" t="s">
        <v>215</v>
      </c>
      <c r="F21" s="126"/>
      <c r="G21" s="126"/>
      <c r="H21" s="126"/>
      <c r="I21" s="126"/>
      <c r="J21" s="126"/>
      <c r="K21" s="127" t="str">
        <f>'Version Control'!C7</f>
        <v>V6.10 (v6.46)</v>
      </c>
      <c r="L21" s="145" t="s">
        <v>129</v>
      </c>
      <c r="M21" s="127"/>
      <c r="N21" s="127"/>
      <c r="O21" s="127" t="s">
        <v>130</v>
      </c>
      <c r="P21" s="128">
        <v>42912</v>
      </c>
      <c r="Q21" s="127" t="str">
        <f>'Version Control'!$C$9</f>
        <v>v6.5</v>
      </c>
    </row>
    <row r="22" spans="1:17" ht="69">
      <c r="A22" s="123">
        <v>21</v>
      </c>
      <c r="B22" s="124">
        <v>42915</v>
      </c>
      <c r="C22" s="123" t="s">
        <v>134</v>
      </c>
      <c r="D22" s="123" t="s">
        <v>24</v>
      </c>
      <c r="E22" s="125" t="s">
        <v>225</v>
      </c>
      <c r="F22" s="126"/>
      <c r="G22" s="126"/>
      <c r="H22" s="126"/>
      <c r="I22" s="126"/>
      <c r="J22" s="126"/>
      <c r="K22" s="127" t="str">
        <f>'Version Control'!C8</f>
        <v>v6.47 Pending</v>
      </c>
      <c r="L22" s="145" t="s">
        <v>229</v>
      </c>
      <c r="M22" s="127"/>
      <c r="N22" s="127"/>
      <c r="O22" s="127" t="s">
        <v>130</v>
      </c>
      <c r="P22" s="128">
        <v>42915</v>
      </c>
      <c r="Q22" s="127" t="str">
        <f>'Version Control'!$C$9</f>
        <v>v6.5</v>
      </c>
    </row>
    <row r="23" spans="1:17" ht="27.6">
      <c r="A23" s="123">
        <v>22</v>
      </c>
      <c r="B23" s="124">
        <v>43424</v>
      </c>
      <c r="C23" s="123" t="s">
        <v>295</v>
      </c>
      <c r="D23" s="123" t="s">
        <v>296</v>
      </c>
      <c r="E23" s="125" t="s">
        <v>297</v>
      </c>
      <c r="F23" s="126"/>
      <c r="G23" s="126"/>
      <c r="H23" s="126"/>
      <c r="I23" s="126"/>
      <c r="J23" s="126"/>
      <c r="K23" s="127" t="s">
        <v>298</v>
      </c>
      <c r="L23" s="145"/>
      <c r="M23" s="127"/>
      <c r="N23" s="127"/>
      <c r="O23" s="127" t="s">
        <v>130</v>
      </c>
      <c r="P23" s="128">
        <v>43424</v>
      </c>
      <c r="Q23" s="127" t="s">
        <v>298</v>
      </c>
    </row>
    <row r="24" spans="1:17" ht="13.8">
      <c r="A24" s="123">
        <v>23</v>
      </c>
      <c r="B24" s="124"/>
      <c r="C24" s="123"/>
      <c r="D24" s="123"/>
      <c r="E24" s="125"/>
      <c r="F24" s="126"/>
      <c r="G24" s="126"/>
      <c r="H24" s="126"/>
      <c r="I24" s="126"/>
      <c r="J24" s="126"/>
      <c r="K24" s="127"/>
      <c r="L24" s="145"/>
      <c r="M24" s="127"/>
      <c r="N24" s="127"/>
      <c r="O24" s="127"/>
      <c r="P24" s="128"/>
      <c r="Q24" s="127"/>
    </row>
    <row r="25" spans="1:17" ht="13.8">
      <c r="A25" s="123">
        <v>24</v>
      </c>
      <c r="B25" s="124"/>
      <c r="C25" s="123"/>
      <c r="D25" s="123"/>
      <c r="E25" s="125"/>
      <c r="F25" s="126"/>
      <c r="G25" s="126"/>
      <c r="H25" s="126"/>
      <c r="I25" s="126"/>
      <c r="J25" s="126"/>
      <c r="K25" s="127"/>
      <c r="L25" s="145"/>
      <c r="M25" s="127"/>
      <c r="N25" s="127"/>
      <c r="O25" s="127"/>
      <c r="P25" s="128"/>
      <c r="Q25" s="127"/>
    </row>
    <row r="26" spans="1:17" ht="13.8">
      <c r="A26" s="123">
        <v>25</v>
      </c>
      <c r="B26" s="124"/>
      <c r="C26" s="123"/>
      <c r="D26" s="123"/>
      <c r="E26" s="125"/>
      <c r="F26" s="126"/>
      <c r="G26" s="126"/>
      <c r="H26" s="126"/>
      <c r="I26" s="126"/>
      <c r="J26" s="126"/>
      <c r="K26" s="127"/>
      <c r="L26" s="145"/>
      <c r="M26" s="127"/>
      <c r="N26" s="127"/>
      <c r="O26" s="127"/>
      <c r="P26" s="128"/>
      <c r="Q26" s="127"/>
    </row>
    <row r="27" spans="1:17" ht="13.8">
      <c r="A27" s="123">
        <v>26</v>
      </c>
      <c r="B27" s="124"/>
      <c r="C27" s="123"/>
      <c r="D27" s="123"/>
      <c r="E27" s="125"/>
      <c r="F27" s="126"/>
      <c r="G27" s="126"/>
      <c r="H27" s="126"/>
      <c r="I27" s="126"/>
      <c r="J27" s="126"/>
      <c r="K27" s="127"/>
      <c r="L27" s="145"/>
      <c r="M27" s="127"/>
      <c r="N27" s="127"/>
      <c r="O27" s="127"/>
      <c r="P27" s="128"/>
      <c r="Q27" s="127"/>
    </row>
    <row r="28" spans="1:17" ht="13.8">
      <c r="A28" s="123">
        <v>27</v>
      </c>
      <c r="B28" s="124"/>
      <c r="C28" s="123"/>
      <c r="D28" s="123"/>
      <c r="E28" s="125"/>
      <c r="F28" s="126"/>
      <c r="G28" s="126"/>
      <c r="H28" s="126"/>
      <c r="I28" s="126"/>
      <c r="J28" s="126"/>
      <c r="K28" s="127"/>
      <c r="L28" s="145"/>
      <c r="M28" s="127"/>
      <c r="N28" s="127"/>
      <c r="O28" s="127"/>
      <c r="P28" s="128"/>
      <c r="Q28" s="127"/>
    </row>
    <row r="29" spans="1:17" ht="13.8">
      <c r="A29" s="123">
        <v>28</v>
      </c>
      <c r="B29" s="124"/>
      <c r="C29" s="123"/>
      <c r="D29" s="123"/>
      <c r="E29" s="125"/>
      <c r="F29" s="126"/>
      <c r="G29" s="126"/>
      <c r="H29" s="126"/>
      <c r="I29" s="126"/>
      <c r="J29" s="126"/>
      <c r="K29" s="127"/>
      <c r="L29" s="145"/>
      <c r="M29" s="127"/>
      <c r="N29" s="127"/>
      <c r="O29" s="127"/>
      <c r="P29" s="128"/>
      <c r="Q29" s="127"/>
    </row>
    <row r="30" spans="1:17" ht="13.8">
      <c r="A30" s="123">
        <v>29</v>
      </c>
      <c r="B30" s="124"/>
      <c r="C30" s="123"/>
      <c r="D30" s="123"/>
      <c r="E30" s="125"/>
      <c r="F30" s="126"/>
      <c r="G30" s="126"/>
      <c r="H30" s="126"/>
      <c r="I30" s="126"/>
      <c r="J30" s="126"/>
      <c r="K30" s="127"/>
      <c r="L30" s="145"/>
      <c r="M30" s="127"/>
      <c r="N30" s="127"/>
      <c r="O30" s="127"/>
      <c r="P30" s="128"/>
      <c r="Q30" s="127"/>
    </row>
    <row r="31" spans="1:17" ht="13.8">
      <c r="A31" s="123">
        <v>30</v>
      </c>
      <c r="B31" s="124"/>
      <c r="C31" s="123"/>
      <c r="D31" s="123"/>
      <c r="E31" s="125"/>
      <c r="F31" s="126"/>
      <c r="G31" s="126"/>
      <c r="H31" s="126"/>
      <c r="I31" s="126"/>
      <c r="J31" s="126"/>
      <c r="K31" s="127"/>
      <c r="L31" s="145"/>
      <c r="M31" s="127"/>
      <c r="N31" s="127"/>
      <c r="O31" s="127"/>
      <c r="P31" s="128"/>
      <c r="Q31" s="127"/>
    </row>
    <row r="32" spans="1:17" ht="13.8">
      <c r="A32" s="123">
        <v>31</v>
      </c>
      <c r="B32" s="124"/>
      <c r="C32" s="123"/>
      <c r="D32" s="123"/>
      <c r="E32" s="125"/>
      <c r="F32" s="126"/>
      <c r="G32" s="126"/>
      <c r="H32" s="126"/>
      <c r="I32" s="126"/>
      <c r="J32" s="126"/>
      <c r="K32" s="127"/>
      <c r="L32" s="145"/>
      <c r="M32" s="127"/>
      <c r="N32" s="127"/>
      <c r="O32" s="127"/>
      <c r="P32" s="128"/>
      <c r="Q32" s="127"/>
    </row>
    <row r="33" spans="1:17" ht="13.8">
      <c r="A33" s="123">
        <v>32</v>
      </c>
      <c r="B33" s="124"/>
      <c r="C33" s="123"/>
      <c r="D33" s="123"/>
      <c r="E33" s="125"/>
      <c r="F33" s="126"/>
      <c r="G33" s="126"/>
      <c r="H33" s="126"/>
      <c r="I33" s="126"/>
      <c r="J33" s="126"/>
      <c r="K33" s="127"/>
      <c r="L33" s="145"/>
      <c r="M33" s="127"/>
      <c r="N33" s="127"/>
      <c r="O33" s="127"/>
      <c r="P33" s="128"/>
      <c r="Q33" s="127"/>
    </row>
    <row r="34" spans="1:17" ht="13.8">
      <c r="A34" s="123">
        <v>33</v>
      </c>
      <c r="B34" s="124"/>
      <c r="C34" s="123"/>
      <c r="D34" s="123"/>
      <c r="E34" s="125"/>
      <c r="F34" s="126"/>
      <c r="G34" s="126"/>
      <c r="H34" s="126"/>
      <c r="I34" s="126"/>
      <c r="J34" s="126"/>
      <c r="K34" s="127"/>
      <c r="L34" s="145"/>
      <c r="M34" s="127"/>
      <c r="N34" s="127"/>
      <c r="O34" s="127"/>
      <c r="P34" s="128"/>
      <c r="Q34" s="127"/>
    </row>
    <row r="35" spans="1:17" ht="13.8">
      <c r="B35" s="124"/>
      <c r="C35" s="123"/>
      <c r="D35" s="123"/>
      <c r="E35" s="125"/>
      <c r="F35" s="126"/>
      <c r="G35" s="126"/>
      <c r="H35" s="126"/>
      <c r="I35" s="126"/>
      <c r="J35" s="126"/>
      <c r="K35" s="127"/>
      <c r="L35" s="145"/>
      <c r="M35" s="127"/>
      <c r="N35" s="127"/>
      <c r="O35" s="127"/>
      <c r="P35" s="128"/>
      <c r="Q35" s="127"/>
    </row>
    <row r="36" spans="1:17" ht="13.8">
      <c r="B36" s="124"/>
      <c r="C36" s="123"/>
      <c r="D36" s="123"/>
      <c r="E36" s="125"/>
      <c r="F36" s="126"/>
      <c r="G36" s="126"/>
      <c r="H36" s="126"/>
      <c r="I36" s="126"/>
      <c r="J36" s="126"/>
      <c r="K36" s="127"/>
      <c r="L36" s="145"/>
      <c r="M36" s="127"/>
      <c r="N36" s="127"/>
      <c r="O36" s="127"/>
      <c r="P36" s="128"/>
      <c r="Q36" s="127"/>
    </row>
    <row r="37" spans="1:17" ht="13.8">
      <c r="B37" s="124"/>
      <c r="C37" s="123"/>
      <c r="D37" s="123"/>
      <c r="E37" s="125"/>
      <c r="F37" s="126"/>
      <c r="G37" s="126"/>
      <c r="H37" s="126"/>
      <c r="I37" s="126"/>
      <c r="J37" s="126"/>
      <c r="K37" s="127"/>
      <c r="L37" s="145"/>
      <c r="M37" s="127"/>
      <c r="N37" s="127"/>
      <c r="O37" s="127"/>
      <c r="P37" s="128"/>
      <c r="Q37" s="127"/>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36"/>
  <sheetViews>
    <sheetView zoomScale="70" zoomScaleNormal="70" zoomScalePageLayoutView="70" workbookViewId="0">
      <pane ySplit="1" topLeftCell="A11" activePane="bottomLeft" state="frozen"/>
      <selection pane="bottomLeft" activeCell="D23" sqref="D23"/>
    </sheetView>
  </sheetViews>
  <sheetFormatPr defaultColWidth="8.88671875" defaultRowHeight="13.2"/>
  <cols>
    <col min="1" max="1" width="12.44140625" customWidth="1"/>
    <col min="2" max="2" width="18.33203125" customWidth="1"/>
    <col min="3" max="3" width="14.88671875" customWidth="1"/>
    <col min="4" max="4" width="88.109375" customWidth="1"/>
    <col min="5" max="5" width="50.6640625" customWidth="1"/>
    <col min="6" max="6" width="90.33203125" customWidth="1"/>
    <col min="7" max="7" width="10" customWidth="1"/>
    <col min="8" max="8" width="11" customWidth="1"/>
    <col min="9" max="9" width="25.33203125" customWidth="1"/>
    <col min="10" max="10" width="13" customWidth="1"/>
  </cols>
  <sheetData>
    <row r="1" spans="1:13" s="137" customFormat="1" ht="32.4">
      <c r="A1" s="131" t="s">
        <v>148</v>
      </c>
      <c r="B1" s="132" t="s">
        <v>113</v>
      </c>
      <c r="C1" s="132" t="s">
        <v>149</v>
      </c>
      <c r="D1" s="132" t="s">
        <v>150</v>
      </c>
      <c r="E1" s="131" t="s">
        <v>151</v>
      </c>
      <c r="F1" s="131" t="s">
        <v>152</v>
      </c>
      <c r="G1" s="132"/>
      <c r="H1" s="133" t="s">
        <v>153</v>
      </c>
      <c r="I1" s="134" t="str">
        <f>VLOOKUP($J$1,B2:$I$3983,8,FALSE)</f>
        <v>V10.12 210115</v>
      </c>
      <c r="J1" s="135">
        <f>MAX(B2:B3983)</f>
        <v>44211</v>
      </c>
      <c r="K1" s="135"/>
      <c r="L1" s="136"/>
      <c r="M1" s="136"/>
    </row>
    <row r="2" spans="1:13" s="136" customFormat="1" ht="48.6">
      <c r="A2" s="138" t="s">
        <v>154</v>
      </c>
      <c r="B2" s="139">
        <v>42835</v>
      </c>
      <c r="C2" s="140" t="s">
        <v>188</v>
      </c>
      <c r="D2" s="138" t="s">
        <v>195</v>
      </c>
      <c r="E2" s="138" t="s">
        <v>155</v>
      </c>
      <c r="F2" s="138"/>
      <c r="G2" s="141" t="str">
        <f>IFERROR(VLOOKUP(MONTH(B2),'Day and Months Table'!A:B,2,FALSE)&amp;VLOOKUP(DAY(B2),'Day and Months Table'!A:B,2,FALSE),"N/A")</f>
        <v>0410</v>
      </c>
      <c r="H2" s="142" t="str">
        <f>RIGHT(YEAR(B2),2)&amp;G2</f>
        <v>170410</v>
      </c>
      <c r="I2" s="143" t="str">
        <f>CONCATENATE(C2," ",H2)</f>
        <v>V6.4 Test 170410</v>
      </c>
    </row>
    <row r="3" spans="1:13" s="136" customFormat="1" ht="48.6">
      <c r="A3" s="138" t="s">
        <v>154</v>
      </c>
      <c r="B3" s="139">
        <v>42835</v>
      </c>
      <c r="C3" s="140" t="s">
        <v>216</v>
      </c>
      <c r="D3" s="138" t="s">
        <v>189</v>
      </c>
      <c r="E3" s="138" t="s">
        <v>196</v>
      </c>
      <c r="F3" s="138"/>
      <c r="G3" s="141" t="str">
        <f>IFERROR(VLOOKUP(MONTH(B3),'Day and Months Table'!A:B,2,FALSE)&amp;VLOOKUP(DAY(B3),'Day and Months Table'!A:B,2,FALSE),"N/A")</f>
        <v>0410</v>
      </c>
      <c r="H3" s="142" t="str">
        <f t="shared" ref="H3:H32" si="0">RIGHT(YEAR(B3),2)&amp;G3</f>
        <v>170410</v>
      </c>
      <c r="I3" s="143" t="str">
        <f t="shared" ref="I3:I32" si="1">CONCATENATE(C3," ",H3)</f>
        <v>V6.4 Test2  (v6.42) 170410</v>
      </c>
    </row>
    <row r="4" spans="1:13" ht="48.6">
      <c r="A4" s="138" t="s">
        <v>154</v>
      </c>
      <c r="B4" s="139">
        <v>42856</v>
      </c>
      <c r="C4" s="140" t="s">
        <v>217</v>
      </c>
      <c r="D4" s="138" t="s">
        <v>197</v>
      </c>
      <c r="E4" s="138" t="s">
        <v>202</v>
      </c>
      <c r="F4" s="138"/>
      <c r="G4" s="141" t="str">
        <f>IFERROR(VLOOKUP(MONTH(B4),'Day and Months Table'!A:B,2,FALSE)&amp;VLOOKUP(DAY(B4),'Day and Months Table'!A:B,2,FALSE),"N/A")</f>
        <v>0501</v>
      </c>
      <c r="H4" s="142" t="str">
        <f t="shared" si="0"/>
        <v>170501</v>
      </c>
      <c r="I4" s="143" t="str">
        <f t="shared" si="1"/>
        <v>V6.6 Test (v6.43) 170501</v>
      </c>
    </row>
    <row r="5" spans="1:13" ht="48.6">
      <c r="A5" s="138" t="s">
        <v>154</v>
      </c>
      <c r="B5" s="139">
        <v>42870</v>
      </c>
      <c r="C5" s="140" t="s">
        <v>218</v>
      </c>
      <c r="D5" s="138" t="s">
        <v>201</v>
      </c>
      <c r="E5" s="138" t="s">
        <v>203</v>
      </c>
      <c r="F5" s="138"/>
      <c r="G5" s="141" t="str">
        <f>IFERROR(VLOOKUP(MONTH(B5),'Day and Months Table'!A:B,2,FALSE)&amp;VLOOKUP(DAY(B5),'Day and Months Table'!A:B,2,FALSE),"N/A")</f>
        <v>0515</v>
      </c>
      <c r="H5" s="142" t="str">
        <f t="shared" si="0"/>
        <v>170515</v>
      </c>
      <c r="I5" s="143" t="str">
        <f t="shared" si="1"/>
        <v>V6.8 Test (v6.44) 170515</v>
      </c>
    </row>
    <row r="6" spans="1:13" ht="48.6">
      <c r="A6" s="138" t="s">
        <v>154</v>
      </c>
      <c r="B6" s="139">
        <v>42907</v>
      </c>
      <c r="C6" s="140" t="s">
        <v>219</v>
      </c>
      <c r="D6" s="138" t="s">
        <v>206</v>
      </c>
      <c r="E6" s="138" t="s">
        <v>223</v>
      </c>
      <c r="F6" s="138" t="s">
        <v>222</v>
      </c>
      <c r="G6" s="141" t="str">
        <f>IFERROR(VLOOKUP(MONTH(B6),'Day and Months Table'!A:B,2,FALSE)&amp;VLOOKUP(DAY(B6),'Day and Months Table'!A:B,2,FALSE),"N/A")</f>
        <v>0621</v>
      </c>
      <c r="H6" s="142" t="str">
        <f t="shared" si="0"/>
        <v>170621</v>
      </c>
      <c r="I6" s="143" t="str">
        <f t="shared" si="1"/>
        <v>V6.9 (v6.45) 170621</v>
      </c>
    </row>
    <row r="7" spans="1:13" ht="353.4" customHeight="1">
      <c r="A7" s="138" t="s">
        <v>154</v>
      </c>
      <c r="B7" s="139">
        <v>42913</v>
      </c>
      <c r="C7" s="140" t="s">
        <v>220</v>
      </c>
      <c r="D7" s="138" t="s">
        <v>221</v>
      </c>
      <c r="E7" s="138" t="s">
        <v>224</v>
      </c>
      <c r="F7" s="138"/>
      <c r="G7" s="141" t="str">
        <f>IFERROR(VLOOKUP(MONTH(B7),'Day and Months Table'!A:B,2,FALSE)&amp;VLOOKUP(DAY(B7),'Day and Months Table'!A:B,2,FALSE),"N/A")</f>
        <v>0627</v>
      </c>
      <c r="H7" s="142" t="str">
        <f t="shared" si="0"/>
        <v>170627</v>
      </c>
      <c r="I7" s="143" t="str">
        <f t="shared" si="1"/>
        <v>V6.10 (v6.46) 170627</v>
      </c>
    </row>
    <row r="8" spans="1:13" ht="32.4">
      <c r="A8" s="138" t="s">
        <v>154</v>
      </c>
      <c r="B8" s="139">
        <v>42915</v>
      </c>
      <c r="C8" s="140" t="s">
        <v>227</v>
      </c>
      <c r="D8" s="138" t="s">
        <v>226</v>
      </c>
      <c r="E8" s="138" t="s">
        <v>228</v>
      </c>
      <c r="F8" s="138"/>
      <c r="G8" s="141" t="str">
        <f>IFERROR(VLOOKUP(MONTH(B8),'Day and Months Table'!A:B,2,FALSE)&amp;VLOOKUP(DAY(B8),'Day and Months Table'!A:B,2,FALSE),"N/A")</f>
        <v>0629</v>
      </c>
      <c r="H8" s="142" t="str">
        <f t="shared" si="0"/>
        <v>170629</v>
      </c>
      <c r="I8" s="143" t="str">
        <f t="shared" si="1"/>
        <v>v6.47 Pending 170629</v>
      </c>
    </row>
    <row r="9" spans="1:13" ht="32.4">
      <c r="A9" s="138" t="s">
        <v>154</v>
      </c>
      <c r="B9" s="139">
        <v>42916</v>
      </c>
      <c r="C9" s="140" t="s">
        <v>230</v>
      </c>
      <c r="D9" s="140"/>
      <c r="E9" s="138"/>
      <c r="F9" s="138" t="s">
        <v>231</v>
      </c>
      <c r="G9" s="141" t="str">
        <f>IFERROR(VLOOKUP(MONTH(B9),'Day and Months Table'!A:B,2,FALSE)&amp;VLOOKUP(DAY(B9),'Day and Months Table'!A:B,2,FALSE),"N/A")</f>
        <v>0630</v>
      </c>
      <c r="H9" s="142" t="str">
        <f t="shared" si="0"/>
        <v>170630</v>
      </c>
      <c r="I9" s="143" t="str">
        <f t="shared" si="1"/>
        <v>v6.5 170630</v>
      </c>
    </row>
    <row r="10" spans="1:13" ht="32.4">
      <c r="A10" s="138" t="s">
        <v>301</v>
      </c>
      <c r="B10" s="139">
        <v>43276</v>
      </c>
      <c r="C10" s="140" t="s">
        <v>287</v>
      </c>
      <c r="D10" s="140" t="s">
        <v>286</v>
      </c>
      <c r="E10" s="138"/>
      <c r="F10" s="138"/>
      <c r="G10" s="141" t="str">
        <f>IFERROR(VLOOKUP(MONTH(B10),'Day and Months Table'!A:B,2,FALSE)&amp;VLOOKUP(DAY(B10),'Day and Months Table'!A:B,2,FALSE),"N/A")</f>
        <v>0625</v>
      </c>
      <c r="H10" s="142" t="str">
        <f t="shared" si="0"/>
        <v>180625</v>
      </c>
      <c r="I10" s="143" t="str">
        <f t="shared" si="1"/>
        <v>V7.1A 180625</v>
      </c>
    </row>
    <row r="11" spans="1:13" ht="64.8">
      <c r="A11" s="138" t="s">
        <v>301</v>
      </c>
      <c r="B11" s="139">
        <v>43306</v>
      </c>
      <c r="C11" s="140" t="s">
        <v>290</v>
      </c>
      <c r="D11" s="140" t="s">
        <v>291</v>
      </c>
      <c r="E11" s="138"/>
      <c r="F11" s="138"/>
      <c r="G11" s="141" t="str">
        <f>IFERROR(VLOOKUP(MONTH(B11),'Day and Months Table'!A:B,2,FALSE)&amp;VLOOKUP(DAY(B11),'Day and Months Table'!A:B,2,FALSE),"N/A")</f>
        <v>0725</v>
      </c>
      <c r="H11" s="142" t="str">
        <f t="shared" si="0"/>
        <v>180725</v>
      </c>
      <c r="I11" s="143" t="str">
        <f t="shared" si="1"/>
        <v>V7.2 180725</v>
      </c>
    </row>
    <row r="12" spans="1:13" ht="32.4">
      <c r="A12" s="138" t="s">
        <v>301</v>
      </c>
      <c r="B12" s="139">
        <v>43445</v>
      </c>
      <c r="C12" s="140" t="s">
        <v>299</v>
      </c>
      <c r="D12" s="125" t="s">
        <v>297</v>
      </c>
      <c r="E12" s="138"/>
      <c r="F12" s="138"/>
      <c r="G12" s="141" t="str">
        <f>IFERROR(VLOOKUP(MONTH(B12),'Day and Months Table'!A:B,2,FALSE)&amp;VLOOKUP(DAY(B12),'Day and Months Table'!A:B,2,FALSE),"N/A")</f>
        <v>1211</v>
      </c>
      <c r="H12" s="142" t="str">
        <f t="shared" si="0"/>
        <v>181211</v>
      </c>
      <c r="I12" s="143" t="str">
        <f t="shared" si="1"/>
        <v>V7.2.1 181211</v>
      </c>
    </row>
    <row r="13" spans="1:13" ht="32.4">
      <c r="A13" s="138" t="s">
        <v>301</v>
      </c>
      <c r="B13" s="139">
        <v>43642</v>
      </c>
      <c r="C13" s="140" t="s">
        <v>298</v>
      </c>
      <c r="D13" s="140" t="s">
        <v>302</v>
      </c>
      <c r="E13" s="138"/>
      <c r="F13" s="138"/>
      <c r="G13" s="141" t="str">
        <f>IFERROR(VLOOKUP(MONTH(B13),'Day and Months Table'!A:B,2,FALSE)&amp;VLOOKUP(DAY(B13),'Day and Months Table'!A:B,2,FALSE),"N/A")</f>
        <v>0626</v>
      </c>
      <c r="H13" s="142" t="str">
        <f t="shared" si="0"/>
        <v>190626</v>
      </c>
      <c r="I13" s="143" t="str">
        <f t="shared" si="1"/>
        <v>V7.3 190626</v>
      </c>
    </row>
    <row r="14" spans="1:13" ht="32.4">
      <c r="A14" s="138" t="s">
        <v>301</v>
      </c>
      <c r="B14" s="139">
        <v>43801</v>
      </c>
      <c r="C14" s="140" t="s">
        <v>303</v>
      </c>
      <c r="D14" s="140" t="s">
        <v>304</v>
      </c>
      <c r="E14" s="138"/>
      <c r="F14" s="138"/>
      <c r="G14" s="141" t="str">
        <f>IFERROR(VLOOKUP(MONTH(B14),'Day and Months Table'!A:B,2,FALSE)&amp;VLOOKUP(DAY(B14),'Day and Months Table'!A:B,2,FALSE),"N/A")</f>
        <v>1202</v>
      </c>
      <c r="H14" s="142" t="str">
        <f t="shared" si="0"/>
        <v>191202</v>
      </c>
      <c r="I14" s="143" t="str">
        <f t="shared" si="1"/>
        <v>V7.4 191202</v>
      </c>
    </row>
    <row r="15" spans="1:13" ht="16.2">
      <c r="B15" s="139"/>
      <c r="C15" s="140"/>
      <c r="D15" s="140"/>
      <c r="E15" s="138"/>
      <c r="F15" s="138"/>
      <c r="G15" s="141" t="str">
        <f>IFERROR(VLOOKUP(MONTH(B15),'Day and Months Table'!A:B,2,FALSE)&amp;VLOOKUP(DAY(B15),'Day and Months Table'!A:B,2,FALSE),"N/A")</f>
        <v>N/A</v>
      </c>
      <c r="H15" s="142" t="str">
        <f t="shared" si="0"/>
        <v>00N/A</v>
      </c>
      <c r="I15" s="143" t="str">
        <f t="shared" si="1"/>
        <v xml:space="preserve"> 00N/A</v>
      </c>
    </row>
    <row r="16" spans="1:13" ht="15" customHeight="1">
      <c r="A16" s="138"/>
      <c r="B16" s="139"/>
      <c r="C16" s="140"/>
      <c r="D16" s="140"/>
      <c r="E16" s="138"/>
      <c r="F16" s="138"/>
      <c r="G16" s="141" t="str">
        <f>IFERROR(VLOOKUP(MONTH(B16),'Day and Months Table'!A:B,2,FALSE)&amp;VLOOKUP(DAY(B16),'Day and Months Table'!A:B,2,FALSE),"N/A")</f>
        <v>N/A</v>
      </c>
      <c r="H16" s="142" t="str">
        <f t="shared" si="0"/>
        <v>00N/A</v>
      </c>
      <c r="I16" s="143" t="str">
        <f t="shared" si="1"/>
        <v xml:space="preserve"> 00N/A</v>
      </c>
    </row>
    <row r="17" spans="1:9" ht="15" customHeight="1">
      <c r="A17" s="138"/>
      <c r="B17" s="139"/>
      <c r="C17" s="140"/>
      <c r="D17" s="140"/>
      <c r="E17" s="138"/>
      <c r="F17" s="138"/>
      <c r="G17" s="141" t="str">
        <f>IFERROR(VLOOKUP(MONTH(B17),'Day and Months Table'!A:B,2,FALSE)&amp;VLOOKUP(DAY(B17),'Day and Months Table'!A:B,2,FALSE),"N/A")</f>
        <v>N/A</v>
      </c>
      <c r="H17" s="142" t="str">
        <f t="shared" si="0"/>
        <v>00N/A</v>
      </c>
      <c r="I17" s="143" t="str">
        <f t="shared" si="1"/>
        <v xml:space="preserve"> 00N/A</v>
      </c>
    </row>
    <row r="18" spans="1:9" ht="259.2">
      <c r="A18" s="138" t="s">
        <v>335</v>
      </c>
      <c r="B18" s="139">
        <v>44042</v>
      </c>
      <c r="C18" s="140" t="s">
        <v>336</v>
      </c>
      <c r="D18" s="138" t="s">
        <v>337</v>
      </c>
      <c r="E18" s="331"/>
      <c r="F18" s="138"/>
      <c r="G18" s="141" t="str">
        <f>IFERROR(VLOOKUP(MONTH(B18),'Day and Months Table'!A:B,2,FALSE)&amp;VLOOKUP(DAY(B18),'Day and Months Table'!A:B,2,FALSE),"N/A")</f>
        <v>0730</v>
      </c>
      <c r="H18" s="142" t="str">
        <f t="shared" si="0"/>
        <v>200730</v>
      </c>
      <c r="I18" s="143" t="str">
        <f t="shared" si="1"/>
        <v>V10.0 200730</v>
      </c>
    </row>
    <row r="19" spans="1:9" ht="15" customHeight="1">
      <c r="A19" s="138" t="s">
        <v>335</v>
      </c>
      <c r="B19" s="139">
        <v>44056</v>
      </c>
      <c r="C19" s="140" t="s">
        <v>339</v>
      </c>
      <c r="D19" s="140" t="s">
        <v>338</v>
      </c>
      <c r="E19" s="138"/>
      <c r="F19" s="138"/>
      <c r="G19" s="141" t="str">
        <f>IFERROR(VLOOKUP(MONTH(B19),'Day and Months Table'!A:B,2,FALSE)&amp;VLOOKUP(DAY(B19),'Day and Months Table'!A:B,2,FALSE),"N/A")</f>
        <v>0813</v>
      </c>
      <c r="H19" s="142" t="str">
        <f t="shared" si="0"/>
        <v>200813</v>
      </c>
      <c r="I19" s="143" t="str">
        <f t="shared" si="1"/>
        <v>V10.0 Residential 200813</v>
      </c>
    </row>
    <row r="20" spans="1:9" ht="32.4">
      <c r="A20" s="138" t="s">
        <v>335</v>
      </c>
      <c r="B20" s="139">
        <v>44151</v>
      </c>
      <c r="C20" s="140" t="s">
        <v>340</v>
      </c>
      <c r="D20" s="140" t="s">
        <v>341</v>
      </c>
      <c r="E20" s="138"/>
      <c r="F20" s="138"/>
      <c r="G20" s="141" t="str">
        <f>IFERROR(VLOOKUP(MONTH(B20),'Day and Months Table'!A:B,2,FALSE)&amp;VLOOKUP(DAY(B20),'Day and Months Table'!A:B,2,FALSE),"N/A")</f>
        <v>1116</v>
      </c>
      <c r="H20" s="142" t="str">
        <f t="shared" si="0"/>
        <v>201116</v>
      </c>
      <c r="I20" s="143" t="str">
        <f t="shared" si="1"/>
        <v>V10.1 201116</v>
      </c>
    </row>
    <row r="21" spans="1:9" ht="32.4">
      <c r="A21" s="138" t="s">
        <v>335</v>
      </c>
      <c r="B21" s="139">
        <v>44182</v>
      </c>
      <c r="C21" s="140" t="s">
        <v>356</v>
      </c>
      <c r="D21" s="140" t="s">
        <v>357</v>
      </c>
      <c r="E21" s="138"/>
      <c r="F21" s="138"/>
      <c r="G21" s="141" t="str">
        <f>IFERROR(VLOOKUP(MONTH(B21),'Day and Months Table'!A:B,2,FALSE)&amp;VLOOKUP(DAY(B21),'Day and Months Table'!A:B,2,FALSE),"N/A")</f>
        <v>1217</v>
      </c>
      <c r="H21" s="142" t="str">
        <f t="shared" si="0"/>
        <v>201217</v>
      </c>
      <c r="I21" s="143" t="str">
        <f t="shared" si="1"/>
        <v>V10.11 201217</v>
      </c>
    </row>
    <row r="22" spans="1:9" ht="32.4">
      <c r="A22" s="138" t="s">
        <v>335</v>
      </c>
      <c r="B22" s="139">
        <v>44211</v>
      </c>
      <c r="C22" s="140" t="s">
        <v>391</v>
      </c>
      <c r="D22" s="140" t="s">
        <v>392</v>
      </c>
      <c r="E22" s="138"/>
      <c r="F22" s="138"/>
      <c r="G22" s="141" t="str">
        <f>IFERROR(VLOOKUP(MONTH(B22),'Day and Months Table'!A:B,2,FALSE)&amp;VLOOKUP(DAY(B22),'Day and Months Table'!A:B,2,FALSE),"N/A")</f>
        <v>0115</v>
      </c>
      <c r="H22" s="142" t="str">
        <f t="shared" si="0"/>
        <v>210115</v>
      </c>
      <c r="I22" s="143" t="str">
        <f t="shared" si="1"/>
        <v>V10.12 210115</v>
      </c>
    </row>
    <row r="23" spans="1:9" ht="16.2">
      <c r="A23" s="138"/>
      <c r="B23" s="139"/>
      <c r="C23" s="140"/>
      <c r="D23" s="140"/>
      <c r="E23" s="138"/>
      <c r="F23" s="138"/>
      <c r="G23" s="141" t="str">
        <f>IFERROR(VLOOKUP(MONTH(B23),'Day and Months Table'!A:B,2,FALSE)&amp;VLOOKUP(DAY(B23),'Day and Months Table'!A:B,2,FALSE),"N/A")</f>
        <v>N/A</v>
      </c>
      <c r="H23" s="142" t="str">
        <f t="shared" si="0"/>
        <v>00N/A</v>
      </c>
      <c r="I23" s="143" t="str">
        <f t="shared" si="1"/>
        <v xml:space="preserve"> 00N/A</v>
      </c>
    </row>
    <row r="24" spans="1:9" ht="16.2">
      <c r="A24" s="138"/>
      <c r="B24" s="139"/>
      <c r="C24" s="140"/>
      <c r="D24" s="140"/>
      <c r="E24" s="138"/>
      <c r="F24" s="138"/>
      <c r="G24" s="141" t="str">
        <f>IFERROR(VLOOKUP(MONTH(B24),'Day and Months Table'!A:B,2,FALSE)&amp;VLOOKUP(DAY(B24),'Day and Months Table'!A:B,2,FALSE),"N/A")</f>
        <v>N/A</v>
      </c>
      <c r="H24" s="142" t="str">
        <f t="shared" si="0"/>
        <v>00N/A</v>
      </c>
      <c r="I24" s="143" t="str">
        <f t="shared" si="1"/>
        <v xml:space="preserve"> 00N/A</v>
      </c>
    </row>
    <row r="25" spans="1:9" ht="16.2">
      <c r="A25" s="138"/>
      <c r="B25" s="139"/>
      <c r="C25" s="140"/>
      <c r="D25" s="140"/>
      <c r="E25" s="138"/>
      <c r="F25" s="138"/>
      <c r="G25" s="141" t="str">
        <f>IFERROR(VLOOKUP(MONTH(B25),'Day and Months Table'!A:B,2,FALSE)&amp;VLOOKUP(DAY(B25),'Day and Months Table'!A:B,2,FALSE),"N/A")</f>
        <v>N/A</v>
      </c>
      <c r="H25" s="142" t="str">
        <f t="shared" si="0"/>
        <v>00N/A</v>
      </c>
      <c r="I25" s="143" t="str">
        <f t="shared" si="1"/>
        <v xml:space="preserve"> 00N/A</v>
      </c>
    </row>
    <row r="26" spans="1:9" ht="16.2">
      <c r="A26" s="138"/>
      <c r="B26" s="139"/>
      <c r="C26" s="140"/>
      <c r="D26" s="140"/>
      <c r="E26" s="138"/>
      <c r="F26" s="138"/>
      <c r="G26" s="141" t="str">
        <f>IFERROR(VLOOKUP(MONTH(B26),'Day and Months Table'!A:B,2,FALSE)&amp;VLOOKUP(DAY(B26),'Day and Months Table'!A:B,2,FALSE),"N/A")</f>
        <v>N/A</v>
      </c>
      <c r="H26" s="142" t="str">
        <f t="shared" si="0"/>
        <v>00N/A</v>
      </c>
      <c r="I26" s="143" t="str">
        <f t="shared" si="1"/>
        <v xml:space="preserve"> 00N/A</v>
      </c>
    </row>
    <row r="27" spans="1:9" ht="16.2">
      <c r="A27" s="138"/>
      <c r="B27" s="139"/>
      <c r="C27" s="140"/>
      <c r="D27" s="140"/>
      <c r="E27" s="138"/>
      <c r="F27" s="138"/>
      <c r="G27" s="141" t="str">
        <f>IFERROR(VLOOKUP(MONTH(B27),'Day and Months Table'!A:B,2,FALSE)&amp;VLOOKUP(DAY(B27),'Day and Months Table'!A:B,2,FALSE),"N/A")</f>
        <v>N/A</v>
      </c>
      <c r="H27" s="142" t="str">
        <f t="shared" si="0"/>
        <v>00N/A</v>
      </c>
      <c r="I27" s="143" t="str">
        <f t="shared" si="1"/>
        <v xml:space="preserve"> 00N/A</v>
      </c>
    </row>
    <row r="28" spans="1:9" ht="16.2">
      <c r="A28" s="138"/>
      <c r="B28" s="139"/>
      <c r="C28" s="140"/>
      <c r="D28" s="140"/>
      <c r="E28" s="138"/>
      <c r="F28" s="138"/>
      <c r="G28" s="141" t="str">
        <f>IFERROR(VLOOKUP(MONTH(B28),'Day and Months Table'!A:B,2,FALSE)&amp;VLOOKUP(DAY(B28),'Day and Months Table'!A:B,2,FALSE),"N/A")</f>
        <v>N/A</v>
      </c>
      <c r="H28" s="142" t="str">
        <f t="shared" si="0"/>
        <v>00N/A</v>
      </c>
      <c r="I28" s="143" t="str">
        <f t="shared" si="1"/>
        <v xml:space="preserve"> 00N/A</v>
      </c>
    </row>
    <row r="29" spans="1:9" ht="16.2">
      <c r="A29" s="138"/>
      <c r="B29" s="139"/>
      <c r="C29" s="140"/>
      <c r="D29" s="140"/>
      <c r="E29" s="138"/>
      <c r="F29" s="138"/>
      <c r="G29" s="141" t="str">
        <f>IFERROR(VLOOKUP(MONTH(B29),'Day and Months Table'!A:B,2,FALSE)&amp;VLOOKUP(DAY(B29),'Day and Months Table'!A:B,2,FALSE),"N/A")</f>
        <v>N/A</v>
      </c>
      <c r="H29" s="142" t="str">
        <f t="shared" si="0"/>
        <v>00N/A</v>
      </c>
      <c r="I29" s="143" t="str">
        <f t="shared" si="1"/>
        <v xml:space="preserve"> 00N/A</v>
      </c>
    </row>
    <row r="30" spans="1:9" ht="16.2">
      <c r="A30" s="138"/>
      <c r="B30" s="139"/>
      <c r="C30" s="140"/>
      <c r="D30" s="140"/>
      <c r="E30" s="138"/>
      <c r="F30" s="138"/>
      <c r="G30" s="141" t="str">
        <f>IFERROR(VLOOKUP(MONTH(B30),'Day and Months Table'!A:B,2,FALSE)&amp;VLOOKUP(DAY(B30),'Day and Months Table'!A:B,2,FALSE),"N/A")</f>
        <v>N/A</v>
      </c>
      <c r="H30" s="142" t="str">
        <f t="shared" si="0"/>
        <v>00N/A</v>
      </c>
      <c r="I30" s="143" t="str">
        <f t="shared" si="1"/>
        <v xml:space="preserve"> 00N/A</v>
      </c>
    </row>
    <row r="31" spans="1:9" ht="16.2">
      <c r="A31" s="138"/>
      <c r="B31" s="139"/>
      <c r="C31" s="140"/>
      <c r="D31" s="140"/>
      <c r="E31" s="138"/>
      <c r="F31" s="138"/>
      <c r="G31" s="141" t="str">
        <f>IFERROR(VLOOKUP(MONTH(B31),'Day and Months Table'!A:B,2,FALSE)&amp;VLOOKUP(DAY(B31),'Day and Months Table'!A:B,2,FALSE),"N/A")</f>
        <v>N/A</v>
      </c>
      <c r="H31" s="142" t="str">
        <f t="shared" si="0"/>
        <v>00N/A</v>
      </c>
      <c r="I31" s="143" t="str">
        <f t="shared" si="1"/>
        <v xml:space="preserve"> 00N/A</v>
      </c>
    </row>
    <row r="32" spans="1:9" ht="16.2">
      <c r="A32" s="138"/>
      <c r="B32" s="139"/>
      <c r="C32" s="140"/>
      <c r="D32" s="140"/>
      <c r="E32" s="138"/>
      <c r="F32" s="138"/>
      <c r="G32" s="141" t="str">
        <f>IFERROR(VLOOKUP(MONTH(B32),'Day and Months Table'!A:B,2,FALSE)&amp;VLOOKUP(DAY(B32),'Day and Months Table'!A:B,2,FALSE),"N/A")</f>
        <v>N/A</v>
      </c>
      <c r="H32" s="142" t="str">
        <f t="shared" si="0"/>
        <v>00N/A</v>
      </c>
      <c r="I32" s="143" t="str">
        <f t="shared" si="1"/>
        <v xml:space="preserve"> 00N/A</v>
      </c>
    </row>
    <row r="36" spans="4:4">
      <c r="D36" s="31"/>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31"/>
  <sheetViews>
    <sheetView workbookViewId="0">
      <selection activeCell="P17" sqref="P17"/>
    </sheetView>
  </sheetViews>
  <sheetFormatPr defaultColWidth="8.88671875" defaultRowHeight="13.2"/>
  <sheetData>
    <row r="1" spans="1:2">
      <c r="A1">
        <v>1</v>
      </c>
      <c r="B1" s="144" t="s">
        <v>156</v>
      </c>
    </row>
    <row r="2" spans="1:2">
      <c r="A2">
        <v>2</v>
      </c>
      <c r="B2" s="144" t="s">
        <v>157</v>
      </c>
    </row>
    <row r="3" spans="1:2">
      <c r="A3">
        <v>3</v>
      </c>
      <c r="B3" s="144" t="s">
        <v>158</v>
      </c>
    </row>
    <row r="4" spans="1:2">
      <c r="A4">
        <v>4</v>
      </c>
      <c r="B4" s="144" t="s">
        <v>159</v>
      </c>
    </row>
    <row r="5" spans="1:2">
      <c r="A5">
        <v>5</v>
      </c>
      <c r="B5" s="144" t="s">
        <v>160</v>
      </c>
    </row>
    <row r="6" spans="1:2">
      <c r="A6">
        <v>6</v>
      </c>
      <c r="B6" s="144" t="s">
        <v>161</v>
      </c>
    </row>
    <row r="7" spans="1:2">
      <c r="A7">
        <v>7</v>
      </c>
      <c r="B7" s="144" t="s">
        <v>162</v>
      </c>
    </row>
    <row r="8" spans="1:2">
      <c r="A8">
        <v>8</v>
      </c>
      <c r="B8" s="144" t="s">
        <v>163</v>
      </c>
    </row>
    <row r="9" spans="1:2">
      <c r="A9">
        <v>9</v>
      </c>
      <c r="B9" s="144" t="s">
        <v>164</v>
      </c>
    </row>
    <row r="10" spans="1:2">
      <c r="A10">
        <v>10</v>
      </c>
      <c r="B10" s="144" t="s">
        <v>165</v>
      </c>
    </row>
    <row r="11" spans="1:2">
      <c r="A11">
        <v>11</v>
      </c>
      <c r="B11" s="144" t="s">
        <v>166</v>
      </c>
    </row>
    <row r="12" spans="1:2">
      <c r="A12">
        <v>12</v>
      </c>
      <c r="B12" s="144" t="s">
        <v>167</v>
      </c>
    </row>
    <row r="13" spans="1:2">
      <c r="A13">
        <v>13</v>
      </c>
      <c r="B13" s="144" t="s">
        <v>168</v>
      </c>
    </row>
    <row r="14" spans="1:2">
      <c r="A14">
        <v>14</v>
      </c>
      <c r="B14" s="144" t="s">
        <v>169</v>
      </c>
    </row>
    <row r="15" spans="1:2">
      <c r="A15">
        <v>15</v>
      </c>
      <c r="B15" s="144" t="s">
        <v>170</v>
      </c>
    </row>
    <row r="16" spans="1:2">
      <c r="A16">
        <v>16</v>
      </c>
      <c r="B16" s="144" t="s">
        <v>171</v>
      </c>
    </row>
    <row r="17" spans="1:2">
      <c r="A17">
        <v>17</v>
      </c>
      <c r="B17" s="144" t="s">
        <v>172</v>
      </c>
    </row>
    <row r="18" spans="1:2">
      <c r="A18">
        <v>18</v>
      </c>
      <c r="B18" s="144" t="s">
        <v>173</v>
      </c>
    </row>
    <row r="19" spans="1:2">
      <c r="A19">
        <v>19</v>
      </c>
      <c r="B19" s="144" t="s">
        <v>174</v>
      </c>
    </row>
    <row r="20" spans="1:2">
      <c r="A20">
        <v>20</v>
      </c>
      <c r="B20" s="144" t="s">
        <v>175</v>
      </c>
    </row>
    <row r="21" spans="1:2">
      <c r="A21">
        <v>21</v>
      </c>
      <c r="B21" s="144" t="s">
        <v>176</v>
      </c>
    </row>
    <row r="22" spans="1:2">
      <c r="A22">
        <v>22</v>
      </c>
      <c r="B22" s="144" t="s">
        <v>177</v>
      </c>
    </row>
    <row r="23" spans="1:2">
      <c r="A23">
        <v>23</v>
      </c>
      <c r="B23" s="144" t="s">
        <v>178</v>
      </c>
    </row>
    <row r="24" spans="1:2">
      <c r="A24">
        <v>24</v>
      </c>
      <c r="B24" s="144" t="s">
        <v>179</v>
      </c>
    </row>
    <row r="25" spans="1:2">
      <c r="A25">
        <v>25</v>
      </c>
      <c r="B25" s="144" t="s">
        <v>180</v>
      </c>
    </row>
    <row r="26" spans="1:2">
      <c r="A26">
        <v>26</v>
      </c>
      <c r="B26" s="144" t="s">
        <v>181</v>
      </c>
    </row>
    <row r="27" spans="1:2">
      <c r="A27">
        <v>27</v>
      </c>
      <c r="B27" s="144" t="s">
        <v>182</v>
      </c>
    </row>
    <row r="28" spans="1:2">
      <c r="A28">
        <v>28</v>
      </c>
      <c r="B28" s="144" t="s">
        <v>183</v>
      </c>
    </row>
    <row r="29" spans="1:2">
      <c r="A29">
        <v>29</v>
      </c>
      <c r="B29" s="144" t="s">
        <v>184</v>
      </c>
    </row>
    <row r="30" spans="1:2">
      <c r="A30">
        <v>30</v>
      </c>
      <c r="B30" s="144" t="s">
        <v>185</v>
      </c>
    </row>
    <row r="31" spans="1:2">
      <c r="A31">
        <v>31</v>
      </c>
      <c r="B31" s="144" t="s">
        <v>186</v>
      </c>
    </row>
  </sheetData>
  <sheetProtection algorithmName="SHA-512" hashValue="GUwQN3OFEHtXMY7PyKfZWrWD6Ieu9dhawUTUV9hw+38JH3VNkl3jG5unnU42vHr9n046w+ORQ5ixnj/xWi2EUg==" saltValue="NLXpJ26/h3TgE0pG0PJGmQ==" spinCount="100000" sheet="1" objects="1" scenarios="1"/>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Serviceability</vt:lpstr>
      <vt:lpstr>Tables!Content</vt:lpstr>
      <vt:lpstr>Tables!P3_172</vt:lpstr>
      <vt:lpstr>Serviceability!Print_Area</vt:lpstr>
      <vt:lpstr>Table_Company_Tax_Rate</vt:lpstr>
      <vt:lpstr>Tables!top</vt:lpstr>
      <vt:lpstr>Tables!TopOfPage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Wilson</dc:creator>
  <cp:lastModifiedBy>Carlos Fernandez</cp:lastModifiedBy>
  <cp:lastPrinted>2017-08-20T23:38:36Z</cp:lastPrinted>
  <dcterms:created xsi:type="dcterms:W3CDTF">2007-03-09T00:45:34Z</dcterms:created>
  <dcterms:modified xsi:type="dcterms:W3CDTF">2021-02-11T03:32:31Z</dcterms:modified>
  <cp:contentStatus/>
</cp:coreProperties>
</file>